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AMCI\Financial\2018 Financials\Dec 2018\"/>
    </mc:Choice>
  </mc:AlternateContent>
  <xr:revisionPtr revIDLastSave="0" documentId="13_ncr:1_{8E15F12B-C8B5-4191-8125-0D3966287635}" xr6:coauthVersionLast="40" xr6:coauthVersionMax="40" xr10:uidLastSave="{00000000-0000-0000-0000-000000000000}"/>
  <bookViews>
    <workbookView xWindow="0" yWindow="0" windowWidth="19200" windowHeight="10485" tabRatio="905" firstSheet="3" activeTab="7" xr2:uid="{00000000-000D-0000-FFFF-FFFF00000000}"/>
  </bookViews>
  <sheets>
    <sheet name="AMCI 1_Stmt of Financial Post" sheetId="1" r:id="rId1"/>
    <sheet name="AMCI 2_Stmt of Activity" sheetId="2" r:id="rId2"/>
    <sheet name="AMCI 3_Membership" sheetId="3" r:id="rId3"/>
    <sheet name="AMCI 4_Meetings" sheetId="4" r:id="rId4"/>
    <sheet name="AMCI 5_Accreditation" sheetId="5" r:id="rId5"/>
    <sheet name="AMCI 6_General" sheetId="6" r:id="rId6"/>
    <sheet name="AMCI 7_Marketing" sheetId="7" r:id="rId7"/>
    <sheet name="AMCI 8_Investments" sheetId="8" r:id="rId8"/>
    <sheet name="AMCI 9_Footnotes" sheetId="9" r:id="rId9"/>
  </sheets>
  <definedNames>
    <definedName name="_xlnm.Print_Titles" localSheetId="5">'AMCI 6_General'!$1:$7</definedName>
    <definedName name="_xlnm.Print_Titles" localSheetId="6">'AMCI 7_Marketing'!$1:$7</definedName>
  </definedNames>
  <calcPr calcId="181029"/>
</workbook>
</file>

<file path=xl/calcChain.xml><?xml version="1.0" encoding="utf-8"?>
<calcChain xmlns="http://schemas.openxmlformats.org/spreadsheetml/2006/main">
  <c r="E34" i="7" l="1"/>
  <c r="E38" i="7"/>
  <c r="E91" i="7"/>
  <c r="E90" i="7"/>
  <c r="E89" i="7"/>
  <c r="E82" i="7"/>
  <c r="E63" i="7"/>
  <c r="E42" i="7"/>
  <c r="E41" i="7"/>
  <c r="E32" i="7"/>
  <c r="E23" i="7"/>
  <c r="E23" i="2"/>
  <c r="D64" i="9" l="1"/>
  <c r="D63" i="9"/>
  <c r="D76" i="9"/>
  <c r="D71" i="9"/>
  <c r="D65" i="9"/>
  <c r="D52" i="9"/>
  <c r="D36" i="9"/>
  <c r="E26" i="5"/>
  <c r="E22" i="2"/>
  <c r="E21" i="2"/>
  <c r="E19" i="2"/>
  <c r="E88" i="6"/>
  <c r="F18" i="8" l="1"/>
  <c r="F11" i="8"/>
  <c r="F21" i="8" s="1"/>
  <c r="K21" i="8"/>
  <c r="I21" i="8"/>
  <c r="K18" i="8"/>
  <c r="I18" i="8"/>
  <c r="E18" i="8"/>
  <c r="C18" i="8"/>
  <c r="K11" i="8"/>
  <c r="I11" i="8"/>
  <c r="E11" i="8"/>
  <c r="E21" i="8" s="1"/>
  <c r="C11" i="8"/>
  <c r="C21" i="8" s="1"/>
  <c r="L100" i="7"/>
  <c r="J100" i="7"/>
  <c r="G100" i="7"/>
  <c r="G97" i="7"/>
  <c r="L97" i="7"/>
  <c r="J97" i="7"/>
  <c r="E97" i="7"/>
  <c r="E100" i="7" s="1"/>
  <c r="C97" i="7"/>
  <c r="C100" i="7" s="1"/>
  <c r="J115" i="6"/>
  <c r="J113" i="6"/>
  <c r="J107" i="6"/>
  <c r="J104" i="6"/>
  <c r="J102" i="6"/>
  <c r="J97" i="6"/>
  <c r="J96" i="6"/>
  <c r="J95" i="6"/>
  <c r="J88" i="6"/>
  <c r="J87" i="6"/>
  <c r="J86" i="6"/>
  <c r="J69" i="6"/>
  <c r="J65" i="6"/>
  <c r="J64" i="6"/>
  <c r="J63" i="6"/>
  <c r="J62" i="6"/>
  <c r="J61" i="6"/>
  <c r="J59" i="6"/>
  <c r="J53" i="6"/>
  <c r="J52" i="6"/>
  <c r="J50" i="6"/>
  <c r="J49" i="6"/>
  <c r="J48" i="6"/>
  <c r="J46" i="6"/>
  <c r="J45" i="6"/>
  <c r="J37" i="6"/>
  <c r="J35" i="6"/>
  <c r="J33" i="6"/>
  <c r="G115" i="6"/>
  <c r="G113" i="6"/>
  <c r="G107" i="6"/>
  <c r="G102" i="6"/>
  <c r="G97" i="6"/>
  <c r="G96" i="6"/>
  <c r="G95" i="6"/>
  <c r="G88" i="6"/>
  <c r="G87" i="6"/>
  <c r="G86" i="6"/>
  <c r="G69" i="6"/>
  <c r="G65" i="6"/>
  <c r="G64" i="6"/>
  <c r="G63" i="6"/>
  <c r="G62" i="6"/>
  <c r="G61" i="6"/>
  <c r="G59" i="6"/>
  <c r="G53" i="6"/>
  <c r="G52" i="6"/>
  <c r="G50" i="6"/>
  <c r="G49" i="6"/>
  <c r="G48" i="6"/>
  <c r="G45" i="6"/>
  <c r="G37" i="6"/>
  <c r="G35" i="6"/>
  <c r="G33" i="6"/>
  <c r="E87" i="6"/>
  <c r="E86" i="6"/>
  <c r="E70" i="6"/>
  <c r="E65" i="6"/>
  <c r="E64" i="6"/>
  <c r="E62" i="6"/>
  <c r="E61" i="6"/>
  <c r="E59" i="6"/>
  <c r="E56" i="6"/>
  <c r="E50" i="6"/>
  <c r="E49" i="6"/>
  <c r="E48" i="6"/>
  <c r="E45" i="6"/>
  <c r="K115" i="6" l="1"/>
  <c r="I115" i="6"/>
  <c r="F115" i="6"/>
  <c r="E115" i="6"/>
  <c r="C115" i="6"/>
  <c r="K107" i="6" l="1"/>
  <c r="I107" i="6"/>
  <c r="F107" i="6"/>
  <c r="E107" i="6"/>
  <c r="C107" i="6"/>
  <c r="K99" i="6"/>
  <c r="I99" i="6"/>
  <c r="F99" i="6"/>
  <c r="E99" i="6"/>
  <c r="C99" i="6"/>
  <c r="K79" i="6"/>
  <c r="I79" i="6"/>
  <c r="F79" i="6"/>
  <c r="E79" i="6"/>
  <c r="C79" i="6"/>
  <c r="K74" i="6"/>
  <c r="K117" i="6" s="1"/>
  <c r="K119" i="6" s="1"/>
  <c r="I74" i="6"/>
  <c r="I117" i="6" s="1"/>
  <c r="I119" i="6" s="1"/>
  <c r="F74" i="6"/>
  <c r="F117" i="6" s="1"/>
  <c r="F119" i="6" s="1"/>
  <c r="E74" i="6"/>
  <c r="C74" i="6"/>
  <c r="E36" i="3"/>
  <c r="K37" i="6"/>
  <c r="I37" i="6"/>
  <c r="F37" i="6"/>
  <c r="E37" i="6"/>
  <c r="K35" i="6"/>
  <c r="I35" i="6"/>
  <c r="F35" i="6"/>
  <c r="E35" i="6"/>
  <c r="K30" i="6"/>
  <c r="I30" i="6"/>
  <c r="F30" i="6"/>
  <c r="E30" i="6"/>
  <c r="K25" i="6"/>
  <c r="I25" i="6"/>
  <c r="F25" i="6"/>
  <c r="E25" i="6"/>
  <c r="K20" i="6"/>
  <c r="I20" i="6"/>
  <c r="F20" i="6"/>
  <c r="E20" i="6"/>
  <c r="K15" i="6"/>
  <c r="I15" i="6"/>
  <c r="F15" i="6"/>
  <c r="E15" i="6"/>
  <c r="C37" i="6"/>
  <c r="C35" i="6"/>
  <c r="C30" i="6"/>
  <c r="C25" i="6"/>
  <c r="C20" i="6"/>
  <c r="C15" i="6"/>
  <c r="E33" i="6"/>
  <c r="J35" i="5"/>
  <c r="J29" i="5"/>
  <c r="J28" i="5"/>
  <c r="J26" i="5"/>
  <c r="J25" i="5"/>
  <c r="J24" i="5"/>
  <c r="J23" i="5"/>
  <c r="J14" i="5"/>
  <c r="G35" i="5"/>
  <c r="G29" i="5"/>
  <c r="G28" i="5"/>
  <c r="G26" i="5"/>
  <c r="G25" i="5"/>
  <c r="G24" i="5"/>
  <c r="G23" i="5"/>
  <c r="G14" i="5"/>
  <c r="C42" i="5"/>
  <c r="C45" i="5" s="1"/>
  <c r="K40" i="5"/>
  <c r="K42" i="5" s="1"/>
  <c r="I40" i="5"/>
  <c r="I42" i="5" s="1"/>
  <c r="F40" i="5"/>
  <c r="F42" i="5" s="1"/>
  <c r="F45" i="5" s="1"/>
  <c r="E40" i="5"/>
  <c r="G40" i="5" s="1"/>
  <c r="C40" i="5"/>
  <c r="K32" i="5"/>
  <c r="I32" i="5"/>
  <c r="F32" i="5"/>
  <c r="E32" i="5"/>
  <c r="C32" i="5"/>
  <c r="K16" i="5"/>
  <c r="I16" i="5"/>
  <c r="I45" i="5" s="1"/>
  <c r="F16" i="5"/>
  <c r="C16" i="5"/>
  <c r="E12" i="5"/>
  <c r="J12" i="5" s="1"/>
  <c r="J102" i="4"/>
  <c r="J101" i="4"/>
  <c r="J100" i="4"/>
  <c r="J99" i="4"/>
  <c r="J96" i="4"/>
  <c r="J93" i="4"/>
  <c r="J92" i="4"/>
  <c r="J91" i="4"/>
  <c r="J90" i="4"/>
  <c r="J89" i="4"/>
  <c r="J88" i="4"/>
  <c r="J87" i="4"/>
  <c r="J86" i="4"/>
  <c r="J85" i="4"/>
  <c r="J79" i="4"/>
  <c r="J78" i="4"/>
  <c r="J77" i="4"/>
  <c r="J76" i="4"/>
  <c r="J75" i="4"/>
  <c r="J74" i="4"/>
  <c r="J73" i="4"/>
  <c r="J71" i="4"/>
  <c r="J67" i="4"/>
  <c r="J51" i="4"/>
  <c r="J33" i="4"/>
  <c r="J32" i="4"/>
  <c r="J31" i="4"/>
  <c r="J24" i="4"/>
  <c r="J23" i="4"/>
  <c r="J15" i="4"/>
  <c r="G102" i="4"/>
  <c r="G101" i="4"/>
  <c r="G100" i="4"/>
  <c r="G99" i="4"/>
  <c r="G96" i="4"/>
  <c r="G93" i="4"/>
  <c r="G92" i="4"/>
  <c r="G91" i="4"/>
  <c r="G90" i="4"/>
  <c r="G89" i="4"/>
  <c r="G88" i="4"/>
  <c r="G87" i="4"/>
  <c r="G86" i="4"/>
  <c r="G85" i="4"/>
  <c r="G79" i="4"/>
  <c r="G78" i="4"/>
  <c r="G77" i="4"/>
  <c r="G76" i="4"/>
  <c r="G75" i="4"/>
  <c r="G74" i="4"/>
  <c r="G73" i="4"/>
  <c r="G72" i="4"/>
  <c r="G71" i="4"/>
  <c r="G70" i="4"/>
  <c r="G69" i="4"/>
  <c r="G67" i="4"/>
  <c r="G61" i="4"/>
  <c r="G60" i="4"/>
  <c r="G59" i="4"/>
  <c r="G58" i="4"/>
  <c r="G55" i="4"/>
  <c r="G53" i="4"/>
  <c r="G52" i="4"/>
  <c r="G51" i="4"/>
  <c r="G40" i="4"/>
  <c r="G39" i="4"/>
  <c r="G32" i="4"/>
  <c r="G33" i="4"/>
  <c r="G31" i="4"/>
  <c r="G24" i="4"/>
  <c r="G23" i="4"/>
  <c r="G15" i="4"/>
  <c r="K111" i="4"/>
  <c r="K113" i="4" s="1"/>
  <c r="I111" i="4"/>
  <c r="F111" i="4"/>
  <c r="E111" i="4"/>
  <c r="G111" i="4" s="1"/>
  <c r="C111" i="4"/>
  <c r="K104" i="4"/>
  <c r="I104" i="4"/>
  <c r="I113" i="4" s="1"/>
  <c r="F104" i="4"/>
  <c r="F113" i="4" s="1"/>
  <c r="E104" i="4"/>
  <c r="C104" i="4"/>
  <c r="K81" i="4"/>
  <c r="I81" i="4"/>
  <c r="F81" i="4"/>
  <c r="E81" i="4"/>
  <c r="J81" i="4" s="1"/>
  <c r="C81" i="4"/>
  <c r="K63" i="4"/>
  <c r="I63" i="4"/>
  <c r="F63" i="4"/>
  <c r="E63" i="4"/>
  <c r="J63" i="4" s="1"/>
  <c r="K45" i="5" l="1"/>
  <c r="G12" i="5"/>
  <c r="J40" i="5"/>
  <c r="E16" i="5"/>
  <c r="J32" i="5"/>
  <c r="J111" i="4"/>
  <c r="E113" i="4"/>
  <c r="J113" i="4" s="1"/>
  <c r="G32" i="5"/>
  <c r="E42" i="5"/>
  <c r="G113" i="4"/>
  <c r="G104" i="4"/>
  <c r="J104" i="4"/>
  <c r="J99" i="6"/>
  <c r="G99" i="6"/>
  <c r="C117" i="6"/>
  <c r="C119" i="6" s="1"/>
  <c r="G74" i="6"/>
  <c r="J74" i="6"/>
  <c r="E117" i="6"/>
  <c r="K42" i="4"/>
  <c r="I42" i="4"/>
  <c r="F42" i="4"/>
  <c r="E42" i="4"/>
  <c r="K35" i="4"/>
  <c r="I35" i="4"/>
  <c r="F35" i="4"/>
  <c r="E35" i="4"/>
  <c r="K26" i="4"/>
  <c r="I26" i="4"/>
  <c r="F26" i="4"/>
  <c r="E26" i="4"/>
  <c r="G26" i="4" s="1"/>
  <c r="K18" i="4"/>
  <c r="I18" i="4"/>
  <c r="F18" i="4"/>
  <c r="E18" i="4"/>
  <c r="C18" i="4"/>
  <c r="C63" i="4"/>
  <c r="C113" i="4" s="1"/>
  <c r="C42" i="4"/>
  <c r="C35" i="4"/>
  <c r="C26" i="4"/>
  <c r="J38" i="3"/>
  <c r="J37" i="3"/>
  <c r="J35" i="3"/>
  <c r="J33" i="3"/>
  <c r="J13" i="3"/>
  <c r="J14" i="3"/>
  <c r="J17" i="3"/>
  <c r="J18" i="3"/>
  <c r="J19" i="3"/>
  <c r="J25" i="3"/>
  <c r="J12" i="3"/>
  <c r="G47" i="3"/>
  <c r="G45" i="3"/>
  <c r="G35" i="3"/>
  <c r="G37" i="3"/>
  <c r="G38" i="3"/>
  <c r="G33" i="3"/>
  <c r="G13" i="3"/>
  <c r="G14" i="3"/>
  <c r="G17" i="3"/>
  <c r="G18" i="3"/>
  <c r="G19" i="3"/>
  <c r="G12" i="3"/>
  <c r="J32" i="2"/>
  <c r="J11" i="2"/>
  <c r="J10" i="2"/>
  <c r="G32" i="2"/>
  <c r="G11" i="2"/>
  <c r="G10" i="2"/>
  <c r="K50" i="3"/>
  <c r="K53" i="3" s="1"/>
  <c r="K27" i="3"/>
  <c r="I27" i="3"/>
  <c r="F27" i="3"/>
  <c r="F53" i="3" s="1"/>
  <c r="I50" i="3"/>
  <c r="I53" i="3" s="1"/>
  <c r="F50" i="3"/>
  <c r="J16" i="5" l="1"/>
  <c r="G16" i="5"/>
  <c r="F44" i="4"/>
  <c r="F116" i="4" s="1"/>
  <c r="E44" i="4"/>
  <c r="E116" i="4" s="1"/>
  <c r="J116" i="4" s="1"/>
  <c r="I44" i="4"/>
  <c r="I116" i="4" s="1"/>
  <c r="C44" i="4"/>
  <c r="C116" i="4" s="1"/>
  <c r="K44" i="4"/>
  <c r="K116" i="4" s="1"/>
  <c r="J42" i="5"/>
  <c r="G42" i="5"/>
  <c r="E45" i="5"/>
  <c r="E119" i="6"/>
  <c r="G117" i="6"/>
  <c r="J117" i="6"/>
  <c r="C50" i="3"/>
  <c r="E39" i="3"/>
  <c r="E34" i="3"/>
  <c r="E27" i="3"/>
  <c r="C27" i="3"/>
  <c r="C53" i="3" s="1"/>
  <c r="I34" i="2"/>
  <c r="I25" i="2"/>
  <c r="I15" i="2"/>
  <c r="G116" i="4" l="1"/>
  <c r="J45" i="5"/>
  <c r="G45" i="5"/>
  <c r="J119" i="6"/>
  <c r="G119" i="6"/>
  <c r="G36" i="3"/>
  <c r="J36" i="3"/>
  <c r="J39" i="3"/>
  <c r="G39" i="3"/>
  <c r="J27" i="3"/>
  <c r="I27" i="2"/>
  <c r="I37" i="2" s="1"/>
  <c r="E50" i="3"/>
  <c r="J34" i="3"/>
  <c r="G34" i="3"/>
  <c r="E31" i="2"/>
  <c r="K34" i="2"/>
  <c r="F34" i="2"/>
  <c r="K25" i="2"/>
  <c r="F25" i="2"/>
  <c r="K15" i="2"/>
  <c r="F15" i="2"/>
  <c r="E13" i="2"/>
  <c r="C34" i="2"/>
  <c r="C25" i="2"/>
  <c r="C15" i="2"/>
  <c r="E12" i="2"/>
  <c r="E15" i="2" l="1"/>
  <c r="J12" i="2"/>
  <c r="G12" i="2"/>
  <c r="J31" i="2"/>
  <c r="G31" i="2"/>
  <c r="E34" i="2"/>
  <c r="J13" i="2"/>
  <c r="G13" i="2"/>
  <c r="G22" i="2"/>
  <c r="J22" i="2"/>
  <c r="G50" i="3"/>
  <c r="J50" i="3"/>
  <c r="J19" i="2"/>
  <c r="G19" i="2"/>
  <c r="J23" i="2"/>
  <c r="G23" i="2"/>
  <c r="J20" i="2"/>
  <c r="G20" i="2"/>
  <c r="J21" i="2"/>
  <c r="G21" i="2"/>
  <c r="E53" i="3"/>
  <c r="E25" i="2"/>
  <c r="K27" i="2"/>
  <c r="K37" i="2" s="1"/>
  <c r="F27" i="2"/>
  <c r="F37" i="2" s="1"/>
  <c r="C27" i="2"/>
  <c r="C37" i="2" s="1"/>
  <c r="G39" i="1"/>
  <c r="G33" i="1"/>
  <c r="C39" i="1"/>
  <c r="C27" i="1"/>
  <c r="C33" i="1"/>
  <c r="G18" i="1"/>
  <c r="G20" i="1" s="1"/>
  <c r="C12" i="1"/>
  <c r="C18" i="1" s="1"/>
  <c r="C20" i="1" s="1"/>
  <c r="G41" i="1" l="1"/>
  <c r="C41" i="1"/>
  <c r="E27" i="2"/>
  <c r="J25" i="2"/>
  <c r="G25" i="2"/>
  <c r="J34" i="2"/>
  <c r="G34" i="2"/>
  <c r="J53" i="3"/>
  <c r="G53" i="3"/>
  <c r="J15" i="2"/>
  <c r="G15" i="2"/>
  <c r="E37" i="2" l="1"/>
  <c r="J27" i="2"/>
  <c r="G27" i="2"/>
  <c r="D39" i="9"/>
  <c r="J37" i="2" l="1"/>
  <c r="G37" i="2"/>
  <c r="D90" i="9"/>
  <c r="D66" i="9"/>
  <c r="D57" i="9"/>
  <c r="D32" i="9"/>
  <c r="D21" i="9"/>
  <c r="D26" i="9" s="1"/>
  <c r="D10" i="9"/>
</calcChain>
</file>

<file path=xl/sharedStrings.xml><?xml version="1.0" encoding="utf-8"?>
<sst xmlns="http://schemas.openxmlformats.org/spreadsheetml/2006/main" count="1718" uniqueCount="509">
  <si>
    <t>2018</t>
  </si>
  <si>
    <t>2017</t>
  </si>
  <si>
    <t xml:space="preserve"> </t>
  </si>
  <si>
    <t>ASSETS</t>
  </si>
  <si>
    <t>Current Assets</t>
  </si>
  <si>
    <t>Cash - Operating</t>
  </si>
  <si>
    <t>1010-000-00 + 1020-000-00 + 1030-000-00 + 1040-000-00 + 1090-000-00 + 2020-000-00 + 2020-500-00 + 2905-000-00</t>
  </si>
  <si>
    <t>Schwab Investments</t>
  </si>
  <si>
    <t>1100-000-00 + 1110-000-00 + 1120-000-00 + 1224-000-00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</si>
  <si>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</si>
  <si>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</si>
  <si>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</si>
  <si>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</si>
  <si>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</si>
  <si>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</si>
  <si>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</si>
  <si>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</si>
  <si>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</si>
  <si>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</si>
  <si>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</si>
  <si>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</si>
  <si>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</si>
  <si>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</si>
  <si>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</si>
  <si>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 + 2550-000-00</t>
  </si>
  <si>
    <t>Deferred Revenue - Meetings</t>
  </si>
  <si>
    <t>2520-000-00 + 2525-000-00</t>
  </si>
  <si>
    <t>Deferred Accreditation Maintenance</t>
  </si>
  <si>
    <t>2530-000-00</t>
  </si>
  <si>
    <t>Due To Canada AMC</t>
  </si>
  <si>
    <t>2800-000-00</t>
  </si>
  <si>
    <t>Total Current Liabilities</t>
  </si>
  <si>
    <t>Net Assets</t>
  </si>
  <si>
    <t>Net Assets Without Donor Restrictions</t>
  </si>
  <si>
    <t>Total Net Assets</t>
  </si>
  <si>
    <t>TOTAL LIABILITIES AND NET ASSETS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</si>
  <si>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</si>
  <si>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</si>
  <si>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</si>
  <si>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</si>
  <si>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</si>
  <si>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</si>
  <si>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</si>
  <si>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</si>
  <si>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 + 4000:4999-200:200-90:90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</si>
  <si>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</si>
  <si>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</si>
  <si>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</si>
  <si>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</si>
  <si>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</si>
  <si>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+ 4950-200-00 - 4940-100-00 - 4940-000-00</t>
  </si>
  <si>
    <t>Total Revenue</t>
  </si>
  <si>
    <t>EXPENSES</t>
  </si>
  <si>
    <t>5000:9999-200:200-00:00 + 6200-175-00 - 6210-200-00 - 6220-200-00 - 5530-200-00 - 5532-200-00 - 5540-200-00 - 5545-200-00 - 5555-200-00 + 5000:9999-200:200-90:90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</si>
  <si>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</si>
  <si>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</si>
  <si>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</si>
  <si>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</si>
  <si>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</si>
  <si>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</si>
  <si>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</si>
  <si>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</si>
  <si>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</si>
  <si>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</si>
  <si>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</si>
  <si>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</si>
  <si>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</si>
  <si>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TOTAL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</si>
  <si>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</si>
  <si>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</si>
  <si>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</si>
  <si>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</si>
  <si>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</si>
  <si>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</si>
  <si>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</si>
  <si>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Gold Level</t>
  </si>
  <si>
    <t>4410-200-00</t>
  </si>
  <si>
    <t>Silver Level</t>
  </si>
  <si>
    <t>4420-200-00</t>
  </si>
  <si>
    <t>Bronze Level</t>
  </si>
  <si>
    <t>4430-200-00</t>
  </si>
  <si>
    <t>Strategic Partners</t>
  </si>
  <si>
    <t>4450-200-00</t>
  </si>
  <si>
    <t>Chapter Management Education</t>
  </si>
  <si>
    <t>Chapter Management Licensing Fees</t>
  </si>
  <si>
    <t>4820-200-90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</si>
  <si>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</si>
  <si>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</si>
  <si>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</si>
  <si>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</si>
  <si>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</si>
  <si>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</si>
  <si>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</si>
  <si>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</si>
  <si>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</si>
  <si>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</si>
  <si>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</si>
  <si>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</si>
  <si>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</si>
  <si>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</si>
  <si>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</si>
  <si>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</si>
  <si>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</si>
  <si>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</si>
  <si>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6000-200-90</t>
  </si>
  <si>
    <t>Canadian AMCs Expenses</t>
  </si>
  <si>
    <t>8100-200-00</t>
  </si>
  <si>
    <t>Seed Money</t>
  </si>
  <si>
    <t>8110-200-00</t>
  </si>
  <si>
    <t>8150-200-00</t>
  </si>
  <si>
    <t>MEMBERSHIP NET INCOME (LOSS)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</si>
  <si>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</si>
  <si>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</si>
  <si>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</si>
  <si>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</si>
  <si>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</si>
  <si>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</si>
  <si>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</si>
  <si>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</si>
  <si>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</si>
  <si>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</si>
  <si>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</si>
  <si>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</si>
  <si>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</si>
  <si>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</si>
  <si>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</si>
  <si>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</si>
  <si>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</si>
  <si>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</si>
  <si>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</si>
  <si>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</si>
  <si>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</si>
  <si>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</si>
  <si>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</si>
  <si>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</si>
  <si>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</si>
  <si>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</si>
  <si>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</si>
  <si>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</si>
  <si>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</si>
  <si>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6750-500-00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</si>
  <si>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</si>
  <si>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</si>
  <si>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</si>
  <si>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</si>
  <si>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</si>
  <si>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</si>
  <si>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</si>
  <si>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</si>
  <si>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</si>
  <si>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</si>
  <si>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</si>
  <si>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</si>
  <si>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</si>
  <si>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</si>
  <si>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</si>
  <si>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</si>
  <si>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</si>
  <si>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</si>
  <si>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</si>
  <si>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</si>
  <si>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</si>
  <si>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</si>
  <si>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</si>
  <si>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</si>
  <si>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</si>
  <si>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9000-525-00</t>
  </si>
  <si>
    <t>Meals &amp; Entertainment</t>
  </si>
  <si>
    <t>6037-525-00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</si>
  <si>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</si>
  <si>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</si>
  <si>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</si>
  <si>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</si>
  <si>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</si>
  <si>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</si>
  <si>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</si>
  <si>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</si>
  <si>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</si>
  <si>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</si>
  <si>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</si>
  <si>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</si>
  <si>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</si>
  <si>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</si>
  <si>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</si>
  <si>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</si>
  <si>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</si>
  <si>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</si>
  <si>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6032-550-00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</si>
  <si>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</si>
  <si>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</si>
  <si>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</si>
  <si>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</si>
  <si>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</si>
  <si>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</si>
  <si>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</si>
  <si>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</si>
  <si>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</si>
  <si>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</si>
  <si>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</si>
  <si>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Total Annual Meeting Expenses</t>
  </si>
  <si>
    <t>6010-580-00</t>
  </si>
  <si>
    <t>6000-580-00</t>
  </si>
  <si>
    <t>Total Regional Educaion Event Expenses</t>
  </si>
  <si>
    <t>MEETINGS NET INCOME (LOSS)</t>
  </si>
  <si>
    <t>Accreditation Maintenance - Renewal</t>
  </si>
  <si>
    <t>4510-600-00</t>
  </si>
  <si>
    <t>Accreditation Program - New</t>
  </si>
  <si>
    <t>4500-600-00</t>
  </si>
  <si>
    <t>4710-600-00</t>
  </si>
  <si>
    <t>Accreditation Oversight Expenses</t>
  </si>
  <si>
    <t>Accreditation Forum</t>
  </si>
  <si>
    <t>6710-600-00 + 6710-175-00</t>
  </si>
  <si>
    <t>Committee Expenses</t>
  </si>
  <si>
    <t>5550-600-00</t>
  </si>
  <si>
    <t>6540-600-00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</si>
  <si>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</si>
  <si>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</si>
  <si>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</si>
  <si>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</si>
  <si>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</si>
  <si>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</si>
  <si>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</si>
  <si>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</si>
  <si>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</si>
  <si>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</si>
  <si>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</si>
  <si>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</si>
  <si>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</si>
  <si>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</si>
  <si>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6003-700-00</t>
  </si>
  <si>
    <t>Total Standard Development Expenses</t>
  </si>
  <si>
    <t>ACCREDITATION NET INCOME (LOSS)</t>
  </si>
  <si>
    <t>Administrative Revenue</t>
  </si>
  <si>
    <t>Miscellaneous Income</t>
  </si>
  <si>
    <t>4950-000-00 + 4950-100-00 + 4950-200-00</t>
  </si>
  <si>
    <t>Total Administrative Revenue</t>
  </si>
  <si>
    <t>Benchmarking Revenue</t>
  </si>
  <si>
    <t>Client Operating Ratio Survey</t>
  </si>
  <si>
    <t>4257-400-00 + 4256-400-00 + 4290-400-00</t>
  </si>
  <si>
    <t>Total Benchmarking Revenue</t>
  </si>
  <si>
    <t>Board Revenue</t>
  </si>
  <si>
    <t>4999-150-00</t>
  </si>
  <si>
    <t>Total Board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</si>
  <si>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</si>
  <si>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</si>
  <si>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</si>
  <si>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</si>
  <si>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</si>
  <si>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</si>
  <si>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</si>
  <si>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</si>
  <si>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</si>
  <si>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</si>
  <si>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</si>
  <si>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Management Fee</t>
  </si>
  <si>
    <t>5000-100-00</t>
  </si>
  <si>
    <t>6037-100-00</t>
  </si>
  <si>
    <t>8030-000-00 + 8030-100-00</t>
  </si>
  <si>
    <t>Research</t>
  </si>
  <si>
    <t>9500-000-00</t>
  </si>
  <si>
    <t>6035-000-00 + 6035-100-00 + 6000-000-00 + 6000-100-00</t>
  </si>
  <si>
    <t>5525-100-00</t>
  </si>
  <si>
    <t>Taxes &amp; Fees</t>
  </si>
  <si>
    <t>5200-100-00</t>
  </si>
  <si>
    <t>Transition Expense</t>
  </si>
  <si>
    <t>8900-100-00</t>
  </si>
  <si>
    <t>6003-100-00 + 6001-000-00</t>
  </si>
  <si>
    <t>Office Expenses</t>
  </si>
  <si>
    <t>Administrative Office Costs</t>
  </si>
  <si>
    <t>5400-100-00 + 6520-100-00</t>
  </si>
  <si>
    <t>Bank Charges / Foreign Collection</t>
  </si>
  <si>
    <t>8000-100-00</t>
  </si>
  <si>
    <t>Credit Card Fees</t>
  </si>
  <si>
    <t>8010-000-00 + 8010-100-00 + 6040-550-00 + 8010-550-00</t>
  </si>
  <si>
    <t>5500-100-00 + 6020-100-00</t>
  </si>
  <si>
    <t>6055-100-00</t>
  </si>
  <si>
    <t>5515-000-00 + 5515-100-00</t>
  </si>
  <si>
    <t>Telephone</t>
  </si>
  <si>
    <t>5510-100-00</t>
  </si>
  <si>
    <t>Temporary Help</t>
  </si>
  <si>
    <t>8040-100-00</t>
  </si>
  <si>
    <t>Professional Fees</t>
  </si>
  <si>
    <t>Audit &amp; Tax Filing</t>
  </si>
  <si>
    <t>5010-000-00 + 5010-100-00</t>
  </si>
  <si>
    <t>Legal Fees</t>
  </si>
  <si>
    <t>5610-100-00</t>
  </si>
  <si>
    <t>5600-000-00 + 5600-100-00</t>
  </si>
  <si>
    <t>Total Administrative Expenses</t>
  </si>
  <si>
    <t>Benchmarking Expenses</t>
  </si>
  <si>
    <t>Member Surveys</t>
  </si>
  <si>
    <t>6720-400-00</t>
  </si>
  <si>
    <t>Total Benchmarking Expenses</t>
  </si>
  <si>
    <t>Board Expenses</t>
  </si>
  <si>
    <t>6025-150-00</t>
  </si>
  <si>
    <t>5505-150-00</t>
  </si>
  <si>
    <t>6035-150-00</t>
  </si>
  <si>
    <t>9000-150-00</t>
  </si>
  <si>
    <t>6037-150-00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</si>
  <si>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</si>
  <si>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</si>
  <si>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</si>
  <si>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</si>
  <si>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</si>
  <si>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</si>
  <si>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</si>
  <si>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</si>
  <si>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</si>
  <si>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</si>
  <si>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</si>
  <si>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Total Board and Executive Committee Expenses</t>
  </si>
  <si>
    <t>Research Expenses</t>
  </si>
  <si>
    <t>Consultant Management Fee</t>
  </si>
  <si>
    <t>5020-850-00</t>
  </si>
  <si>
    <t>8030-400-00</t>
  </si>
  <si>
    <t>9500-850-00</t>
  </si>
  <si>
    <t>6000-800-00</t>
  </si>
  <si>
    <t>Total Research Expenses</t>
  </si>
  <si>
    <t>Web Services</t>
  </si>
  <si>
    <t>8030-250-00</t>
  </si>
  <si>
    <t xml:space="preserve">Other Web Expenses </t>
  </si>
  <si>
    <t>6520-250-00</t>
  </si>
  <si>
    <t>Web Provider Fee (Host /Design)</t>
  </si>
  <si>
    <t>5070-250-00</t>
  </si>
  <si>
    <t>Total Web Services</t>
  </si>
  <si>
    <t>GENERAL NET INCOME (LOSS)</t>
  </si>
  <si>
    <t>ASAE</t>
  </si>
  <si>
    <t>Booth Fees</t>
  </si>
  <si>
    <t>6800-175-10</t>
  </si>
  <si>
    <t>Consultant Travel</t>
  </si>
  <si>
    <t>6810-175-10</t>
  </si>
  <si>
    <t>6037-175-10</t>
  </si>
  <si>
    <t>Printing</t>
  </si>
  <si>
    <t>6840-175-10</t>
  </si>
  <si>
    <t>6020-175-10</t>
  </si>
  <si>
    <t>6000-175-10</t>
  </si>
  <si>
    <t>5515-175-10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</si>
  <si>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</si>
  <si>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</si>
  <si>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</si>
  <si>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</si>
  <si>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</si>
  <si>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</si>
  <si>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</si>
  <si>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</si>
  <si>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</si>
  <si>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CIC</t>
  </si>
  <si>
    <t>CIC Dues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</si>
  <si>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</si>
  <si>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</si>
  <si>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</si>
  <si>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</si>
  <si>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</si>
  <si>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</si>
  <si>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6037-175-25</t>
  </si>
  <si>
    <t>6000-175-25</t>
  </si>
  <si>
    <t>IMEX - America</t>
  </si>
  <si>
    <t>6037-175-30</t>
  </si>
  <si>
    <t>6000-175-30</t>
  </si>
  <si>
    <t>IMEX - Frankfurt</t>
  </si>
  <si>
    <t>6810-175-35</t>
  </si>
  <si>
    <t>Design Services</t>
  </si>
  <si>
    <t>6820-175-35</t>
  </si>
  <si>
    <t>Giveaways</t>
  </si>
  <si>
    <t>6830-175-35</t>
  </si>
  <si>
    <t>6037-175-35</t>
  </si>
  <si>
    <t>6840-175-35</t>
  </si>
  <si>
    <t>6000-175-35</t>
  </si>
  <si>
    <t>5515-175-35</t>
  </si>
  <si>
    <t>MMBC</t>
  </si>
  <si>
    <t>5530-175-40</t>
  </si>
  <si>
    <t>6037-175-40</t>
  </si>
  <si>
    <t>6000-175-40</t>
  </si>
  <si>
    <t>PCMA</t>
  </si>
  <si>
    <t>5530-175-45</t>
  </si>
  <si>
    <t>6037-175-45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</si>
  <si>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</si>
  <si>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</si>
  <si>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</si>
  <si>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</si>
  <si>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5515-175-45</t>
  </si>
  <si>
    <t>Other International</t>
  </si>
  <si>
    <t>6037-175-50</t>
  </si>
  <si>
    <t>6000-175-50</t>
  </si>
  <si>
    <t>Other Marketing Expenses</t>
  </si>
  <si>
    <t>Advertising &amp; Ad Placement</t>
  </si>
  <si>
    <t>6510-175-00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</si>
  <si>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</si>
  <si>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</si>
  <si>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</si>
  <si>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</si>
  <si>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</si>
  <si>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</si>
  <si>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5505-175-00</t>
  </si>
  <si>
    <t>6040-175-00</t>
  </si>
  <si>
    <t>5020-175-00</t>
  </si>
  <si>
    <t>5530-175-00 + 5530-200-00 + 5530-550-00 + 5530-600-00 + 5530-700-00 + 5530-100-00</t>
  </si>
  <si>
    <t>Exhibit Hall</t>
  </si>
  <si>
    <t>6080-175-00 + 6080-575-00</t>
  </si>
  <si>
    <t>6035-175-00</t>
  </si>
  <si>
    <t>Influencer Marketing Expense</t>
  </si>
  <si>
    <t>5040-700-00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</si>
  <si>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</si>
  <si>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</si>
  <si>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</si>
  <si>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</si>
  <si>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</si>
  <si>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</si>
  <si>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Web Expenses</t>
  </si>
  <si>
    <t>6520-175-00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</si>
  <si>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</si>
  <si>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</si>
  <si>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</si>
  <si>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</si>
  <si>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</si>
  <si>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</si>
  <si>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</si>
  <si>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Web Hosting</t>
  </si>
  <si>
    <t>5070-175-00</t>
  </si>
  <si>
    <t>MARKETING NET INCOME (LOSS)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</si>
  <si>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</si>
  <si>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</si>
  <si>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</si>
  <si>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</si>
  <si>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</si>
  <si>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</si>
  <si>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INVESTMENTS NET INCOME (LOSS)</t>
  </si>
  <si>
    <t>a)</t>
  </si>
  <si>
    <t>Accounts Receivable:</t>
  </si>
  <si>
    <t>AMCs Engaged registration</t>
  </si>
  <si>
    <t>AMCs Engaged food &amp; beverage</t>
  </si>
  <si>
    <t>b)</t>
  </si>
  <si>
    <r>
      <t xml:space="preserve">In Transit </t>
    </r>
    <r>
      <rPr>
        <sz val="10"/>
        <rFont val="Arial"/>
        <family val="2"/>
      </rPr>
      <t>includes membership dues and registration fees collected in October 2016 through YM. Due to the transition, these funds were deposited in the Bank of America operating account in November 2016.</t>
    </r>
  </si>
  <si>
    <t>Prepaid Expenses:</t>
  </si>
  <si>
    <t>ASAE_2019 CEO Symposium Registration</t>
  </si>
  <si>
    <t>EIC Dues</t>
  </si>
  <si>
    <t>US Travel Association Dues</t>
  </si>
  <si>
    <t>Your Membership_Annual Hosting Fee</t>
  </si>
  <si>
    <t>Webster, Chamberlain &amp; Bean - 2019 legal retainer</t>
  </si>
  <si>
    <t>Prepaid Insurance:</t>
  </si>
  <si>
    <t>The Hartford - General Liability Insurance through March 2019</t>
  </si>
  <si>
    <t>Mercer Consumer - D&amp;O &amp; Cyber Insurance through Dec 2018</t>
  </si>
  <si>
    <t>c)</t>
  </si>
  <si>
    <t>Prepaid Meetings:</t>
  </si>
  <si>
    <t>2019 Annual Conference</t>
  </si>
  <si>
    <t>2021 Annual Conference</t>
  </si>
  <si>
    <t>2022 Annual Conference</t>
  </si>
  <si>
    <t>d)</t>
  </si>
  <si>
    <t>Accounts Payable:</t>
  </si>
  <si>
    <t>Beacon Hill Staffing Group</t>
  </si>
  <si>
    <t>e)</t>
  </si>
  <si>
    <t>Accrued Expenses:</t>
  </si>
  <si>
    <t>Navigate Strategies</t>
  </si>
  <si>
    <t>f)</t>
  </si>
  <si>
    <t>Deferred Revenue:</t>
  </si>
  <si>
    <t>Deferred Dues - Active</t>
  </si>
  <si>
    <t>Deferred Dues - Associate</t>
  </si>
  <si>
    <t xml:space="preserve">Deferred Dues - Provisional </t>
  </si>
  <si>
    <t>Deferred Dues - Leadership Circle</t>
  </si>
  <si>
    <t>Deferred Dues - Strategic Partner</t>
  </si>
  <si>
    <t>g)</t>
  </si>
  <si>
    <t>Due To Canada AMC:</t>
  </si>
  <si>
    <t>Becker Associates</t>
  </si>
  <si>
    <t>Base Consulting</t>
  </si>
  <si>
    <t>Association &amp; Events</t>
  </si>
  <si>
    <t>Essentient Assoc Mgt</t>
  </si>
  <si>
    <t>Managing Matters</t>
  </si>
  <si>
    <t>Strauss</t>
  </si>
  <si>
    <t>ZZeem, Inc.</t>
  </si>
  <si>
    <t>Bond Assoc Mgt</t>
  </si>
  <si>
    <t>Association Concepts</t>
  </si>
  <si>
    <t>Malachite Mgt</t>
  </si>
  <si>
    <t>The Pathfinder Group</t>
  </si>
  <si>
    <t>h)</t>
  </si>
  <si>
    <t>i)</t>
  </si>
  <si>
    <t>December</t>
  </si>
  <si>
    <t>Accounts Receivable</t>
  </si>
  <si>
    <t>Other Professional Fees</t>
  </si>
  <si>
    <t>+</t>
  </si>
  <si>
    <t>AMC Institute</t>
  </si>
  <si>
    <t>For the 12 Months Ended 12/31/18</t>
  </si>
  <si>
    <t>PRELIMINARY</t>
  </si>
  <si>
    <t>Dues/Subscriptions</t>
  </si>
  <si>
    <t>United-Jan EC mtg airfare</t>
  </si>
  <si>
    <t>Erin Carter</t>
  </si>
  <si>
    <t>Tina Wehmeir</t>
  </si>
  <si>
    <t>ReMachines</t>
  </si>
  <si>
    <t>Office Management Partners</t>
  </si>
  <si>
    <t>Fedex</t>
  </si>
  <si>
    <t>Heather Koolmeyer</t>
  </si>
  <si>
    <t>Bank of America-Tina</t>
  </si>
  <si>
    <t>American Express</t>
  </si>
  <si>
    <t>Deferred Meeting Revenue</t>
  </si>
  <si>
    <t>Deferred Revenue Accredit Maint:</t>
  </si>
  <si>
    <t>Deferred Revenue-Meetings:</t>
  </si>
  <si>
    <t>a</t>
  </si>
  <si>
    <t>b</t>
  </si>
  <si>
    <t>c</t>
  </si>
  <si>
    <t>d</t>
  </si>
  <si>
    <t>f</t>
  </si>
  <si>
    <t>g</t>
  </si>
  <si>
    <t>h</t>
  </si>
  <si>
    <t>i</t>
  </si>
  <si>
    <t>Association Management Company Institute</t>
  </si>
  <si>
    <t>Statement of Financial Position</t>
  </si>
  <si>
    <t>As of 12/31/18</t>
  </si>
  <si>
    <t xml:space="preserve">For the Twelve Months Ended 12/31/2018 </t>
  </si>
  <si>
    <t>For the Twelve Months Ended 12/31/18</t>
  </si>
  <si>
    <t xml:space="preserve">For the Twelve Months Ended 12/312018 </t>
  </si>
  <si>
    <t>Footnotes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</si>
</sst>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_(&quot;$&quot;* #,##0_);_(&quot;$&quot;* \(#,##0\);_(&quot;$&quot;* &quot;-&quot;??_);_(@_)"/>
    <numFmt numFmtId="167" formatCode="_(* #,##0_);_(* \(#,##0\);_(* &quot;-&quot;??_);_(@_)"/>
  </numFmts>
  <fonts count="10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/>
    <xf numFmtId="166" fontId="8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7" fontId="8" fillId="0" borderId="5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166" fontId="7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7" fontId="8" fillId="0" borderId="0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7" fontId="8" fillId="0" borderId="0" xfId="1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6" fontId="7" fillId="0" borderId="6" xfId="2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167" fontId="8" fillId="0" borderId="0" xfId="3" applyNumberFormat="1" applyFont="1" applyFill="1" applyBorder="1"/>
    <xf numFmtId="166" fontId="8" fillId="0" borderId="5" xfId="2" applyNumberFormat="1" applyFont="1" applyFill="1" applyBorder="1"/>
    <xf numFmtId="0" fontId="7" fillId="0" borderId="0" xfId="1" applyFont="1" applyFill="1" applyBorder="1" applyAlignment="1"/>
    <xf numFmtId="166" fontId="8" fillId="0" borderId="0" xfId="2" applyNumberFormat="1" applyFont="1" applyFill="1" applyBorder="1"/>
    <xf numFmtId="14" fontId="9" fillId="0" borderId="0" xfId="1" applyNumberFormat="1" applyFont="1" applyFill="1" applyBorder="1"/>
    <xf numFmtId="167" fontId="8" fillId="0" borderId="5" xfId="3" applyNumberFormat="1" applyFont="1" applyFill="1" applyBorder="1"/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17" fontId="5" fillId="2" borderId="3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left" indent="2"/>
    </xf>
    <xf numFmtId="0" fontId="1" fillId="0" borderId="0" xfId="0" applyFont="1"/>
    <xf numFmtId="0" fontId="7" fillId="0" borderId="0" xfId="1" applyFont="1" applyFill="1" applyBorder="1" applyAlignment="1"/>
    <xf numFmtId="37" fontId="8" fillId="0" borderId="0" xfId="2" applyNumberFormat="1" applyFont="1" applyFill="1" applyBorder="1" applyAlignment="1">
      <alignment horizontal="right"/>
    </xf>
    <xf numFmtId="37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</cellXfs>
  <cellStyles count="4">
    <cellStyle name="Comma 2" xfId="3" xr:uid="{82818007-43E4-401D-AB4D-A8F4FDD30087}"/>
    <cellStyle name="Currency 2" xfId="2" xr:uid="{56326589-7F1C-4E95-8050-58D0885A7852}"/>
    <cellStyle name="Normal" xfId="0" builtinId="0"/>
    <cellStyle name="Normal 2" xfId="1" xr:uid="{362C086F-B89B-409F-9FC1-893BABA5C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workbookViewId="0">
      <pane ySplit="7" topLeftCell="A11" activePane="bottomLeft" state="frozen"/>
      <selection pane="bottomLeft" activeCell="D9" sqref="D9"/>
    </sheetView>
  </sheetViews>
  <sheetFormatPr defaultRowHeight="12.75" x14ac:dyDescent="0.2"/>
  <cols>
    <col min="1" max="1" width="44.28515625" bestFit="1" customWidth="1"/>
    <col min="2" max="2" width="3.7109375" hidden="1" customWidth="1"/>
    <col min="3" max="3" width="13.42578125" customWidth="1"/>
    <col min="4" max="6" width="3" customWidth="1"/>
    <col min="7" max="7" width="13.42578125" customWidth="1"/>
  </cols>
  <sheetData>
    <row r="1" spans="1:7" s="81" customFormat="1" ht="15.75" x14ac:dyDescent="0.25">
      <c r="A1" s="85" t="s">
        <v>502</v>
      </c>
      <c r="B1" s="85"/>
      <c r="C1" s="85"/>
      <c r="D1" s="85"/>
      <c r="E1" s="85"/>
      <c r="F1" s="85"/>
      <c r="G1" s="85"/>
    </row>
    <row r="2" spans="1:7" s="81" customFormat="1" ht="15.75" x14ac:dyDescent="0.25">
      <c r="A2" s="85" t="s">
        <v>503</v>
      </c>
      <c r="B2" s="85"/>
      <c r="C2" s="85"/>
      <c r="D2" s="85"/>
      <c r="E2" s="85"/>
      <c r="F2" s="85"/>
      <c r="G2" s="85"/>
    </row>
    <row r="3" spans="1:7" s="81" customFormat="1" ht="15.75" x14ac:dyDescent="0.25">
      <c r="A3" s="85" t="s">
        <v>504</v>
      </c>
      <c r="B3" s="85"/>
      <c r="C3" s="85"/>
      <c r="D3" s="85"/>
      <c r="E3" s="85"/>
      <c r="F3" s="85"/>
      <c r="G3" s="85"/>
    </row>
    <row r="4" spans="1:7" s="81" customFormat="1" ht="15.75" x14ac:dyDescent="0.25">
      <c r="A4" s="85" t="s">
        <v>480</v>
      </c>
      <c r="B4" s="85"/>
      <c r="C4" s="85"/>
      <c r="D4" s="85"/>
      <c r="E4" s="85"/>
      <c r="F4" s="85"/>
      <c r="G4" s="85"/>
    </row>
    <row r="6" spans="1:7" x14ac:dyDescent="0.2">
      <c r="C6" s="1" t="s">
        <v>474</v>
      </c>
      <c r="G6" s="1" t="s">
        <v>474</v>
      </c>
    </row>
    <row r="7" spans="1:7" x14ac:dyDescent="0.2">
      <c r="C7" s="2" t="s">
        <v>0</v>
      </c>
      <c r="G7" s="2" t="s">
        <v>1</v>
      </c>
    </row>
    <row r="8" spans="1:7" ht="15" x14ac:dyDescent="0.2">
      <c r="A8" s="3"/>
      <c r="B8" s="3"/>
      <c r="C8" s="4"/>
      <c r="D8" s="5" t="s">
        <v>2</v>
      </c>
      <c r="E8" s="5"/>
      <c r="F8" s="5"/>
      <c r="G8" s="4"/>
    </row>
    <row r="9" spans="1:7" ht="15.75" x14ac:dyDescent="0.25">
      <c r="A9" s="6" t="s">
        <v>3</v>
      </c>
      <c r="B9" s="6"/>
      <c r="C9" s="7"/>
      <c r="D9" s="8" t="s">
        <v>2</v>
      </c>
      <c r="E9" s="8"/>
      <c r="F9" s="8"/>
      <c r="G9" s="7"/>
    </row>
    <row r="10" spans="1:7" x14ac:dyDescent="0.2">
      <c r="A10" s="9"/>
      <c r="B10" s="9"/>
      <c r="C10" s="10"/>
      <c r="D10" s="11" t="s">
        <v>2</v>
      </c>
      <c r="E10" s="11"/>
      <c r="F10" s="11"/>
      <c r="G10" s="10"/>
    </row>
    <row r="11" spans="1:7" x14ac:dyDescent="0.2">
      <c r="A11" s="12" t="s">
        <v>4</v>
      </c>
      <c r="B11" s="12"/>
      <c r="C11" s="13"/>
      <c r="D11" s="1" t="s">
        <v>2</v>
      </c>
      <c r="E11" s="1"/>
      <c r="F11" s="1"/>
      <c r="G11" s="13"/>
    </row>
    <row r="12" spans="1:7" x14ac:dyDescent="0.2">
      <c r="A12" s="14" t="s">
        <v>5</v>
      </c>
      <c r="B12" s="9" t="s">
        <v>6</v>
      </c>
      <c r="C12" s="15">
        <f>261016+251000.18+600002.47</f>
        <v>1112018.6499999999</v>
      </c>
      <c r="D12" s="11" t="s">
        <v>2</v>
      </c>
      <c r="E12" s="11"/>
      <c r="F12" s="11"/>
      <c r="G12" s="15">
        <v>878965</v>
      </c>
    </row>
    <row r="13" spans="1:7" x14ac:dyDescent="0.2">
      <c r="A13" s="14" t="s">
        <v>7</v>
      </c>
      <c r="B13" s="9" t="s">
        <v>8</v>
      </c>
      <c r="C13" s="16">
        <v>905228</v>
      </c>
      <c r="D13" s="11" t="s">
        <v>2</v>
      </c>
      <c r="E13" s="11"/>
      <c r="F13" s="11"/>
      <c r="G13" s="16">
        <v>921866</v>
      </c>
    </row>
    <row r="14" spans="1:7" x14ac:dyDescent="0.2">
      <c r="A14" s="75" t="s">
        <v>475</v>
      </c>
      <c r="B14" s="9"/>
      <c r="C14" s="16">
        <v>738</v>
      </c>
      <c r="D14" s="11"/>
      <c r="E14" s="11"/>
      <c r="F14" s="11"/>
      <c r="G14" s="16">
        <v>0</v>
      </c>
    </row>
    <row r="15" spans="1:7" x14ac:dyDescent="0.2">
      <c r="A15" s="14" t="s">
        <v>9</v>
      </c>
      <c r="B15" s="9" t="s">
        <v>10</v>
      </c>
      <c r="C15" s="16">
        <v>20616</v>
      </c>
      <c r="D15" s="68" t="s">
        <v>494</v>
      </c>
      <c r="E15" s="68"/>
      <c r="F15" s="68"/>
      <c r="G15" s="16">
        <v>37402</v>
      </c>
    </row>
    <row r="16" spans="1:7" x14ac:dyDescent="0.2">
      <c r="A16" s="14" t="s">
        <v>11</v>
      </c>
      <c r="B16" s="9" t="s">
        <v>12</v>
      </c>
      <c r="C16" s="16">
        <v>487</v>
      </c>
      <c r="D16" s="68" t="s">
        <v>495</v>
      </c>
      <c r="E16" s="68"/>
      <c r="F16" s="68"/>
      <c r="G16" s="16">
        <v>189</v>
      </c>
    </row>
    <row r="17" spans="1:7" x14ac:dyDescent="0.2">
      <c r="A17" s="14" t="s">
        <v>13</v>
      </c>
      <c r="B17" s="9" t="s">
        <v>14</v>
      </c>
      <c r="C17" s="17">
        <v>11246</v>
      </c>
      <c r="D17" s="68" t="s">
        <v>496</v>
      </c>
      <c r="E17" s="68"/>
      <c r="F17" s="68"/>
      <c r="G17" s="17">
        <v>5248</v>
      </c>
    </row>
    <row r="18" spans="1:7" x14ac:dyDescent="0.2">
      <c r="A18" s="12" t="s">
        <v>15</v>
      </c>
      <c r="B18" s="12"/>
      <c r="C18" s="18">
        <f>SUM(C12:C17)</f>
        <v>2050333.65</v>
      </c>
      <c r="D18" s="1"/>
      <c r="E18" s="1"/>
      <c r="F18" s="1"/>
      <c r="G18" s="18">
        <f>SUM(G12:G17)</f>
        <v>1843670</v>
      </c>
    </row>
    <row r="19" spans="1:7" x14ac:dyDescent="0.2">
      <c r="A19" s="9"/>
      <c r="B19" s="9"/>
      <c r="C19" s="19"/>
      <c r="D19" s="11" t="s">
        <v>2</v>
      </c>
      <c r="E19" s="11"/>
      <c r="F19" s="11"/>
      <c r="G19" s="19"/>
    </row>
    <row r="20" spans="1:7" ht="15.75" x14ac:dyDescent="0.25">
      <c r="A20" s="6" t="s">
        <v>16</v>
      </c>
      <c r="B20" s="6"/>
      <c r="C20" s="20">
        <f>+C18</f>
        <v>2050333.65</v>
      </c>
      <c r="D20" s="8" t="s">
        <v>2</v>
      </c>
      <c r="E20" s="8"/>
      <c r="F20" s="8"/>
      <c r="G20" s="20">
        <f>+G18</f>
        <v>1843670</v>
      </c>
    </row>
    <row r="21" spans="1:7" x14ac:dyDescent="0.2">
      <c r="A21" s="12"/>
      <c r="B21" s="12"/>
      <c r="C21" s="21"/>
      <c r="D21" s="1" t="s">
        <v>2</v>
      </c>
      <c r="E21" s="1"/>
      <c r="F21" s="1"/>
      <c r="G21" s="21"/>
    </row>
    <row r="22" spans="1:7" x14ac:dyDescent="0.2">
      <c r="A22" s="9"/>
      <c r="B22" s="9"/>
      <c r="C22" s="10"/>
      <c r="D22" s="11" t="s">
        <v>2</v>
      </c>
      <c r="E22" s="11"/>
      <c r="F22" s="11"/>
      <c r="G22" s="10"/>
    </row>
    <row r="23" spans="1:7" x14ac:dyDescent="0.2">
      <c r="A23" s="9"/>
      <c r="B23" s="9"/>
      <c r="C23" s="10"/>
      <c r="D23" s="11" t="s">
        <v>2</v>
      </c>
      <c r="E23" s="11"/>
      <c r="F23" s="11"/>
      <c r="G23" s="10"/>
    </row>
    <row r="24" spans="1:7" ht="15.75" x14ac:dyDescent="0.25">
      <c r="A24" s="6" t="s">
        <v>17</v>
      </c>
      <c r="B24" s="6"/>
      <c r="C24" s="7"/>
      <c r="D24" s="8" t="s">
        <v>2</v>
      </c>
      <c r="E24" s="8"/>
      <c r="F24" s="8"/>
      <c r="G24" s="7"/>
    </row>
    <row r="25" spans="1:7" x14ac:dyDescent="0.2">
      <c r="A25" s="9"/>
      <c r="B25" s="9"/>
      <c r="C25" s="10"/>
      <c r="D25" s="11" t="s">
        <v>2</v>
      </c>
      <c r="E25" s="11"/>
      <c r="F25" s="11"/>
      <c r="G25" s="10"/>
    </row>
    <row r="26" spans="1:7" x14ac:dyDescent="0.2">
      <c r="A26" s="12" t="s">
        <v>18</v>
      </c>
      <c r="B26" s="12"/>
      <c r="C26" s="13"/>
      <c r="D26" s="1" t="s">
        <v>2</v>
      </c>
      <c r="E26" s="1"/>
      <c r="F26" s="1"/>
      <c r="G26" s="13"/>
    </row>
    <row r="27" spans="1:7" x14ac:dyDescent="0.2">
      <c r="A27" s="14" t="s">
        <v>19</v>
      </c>
      <c r="B27" s="9" t="s">
        <v>20</v>
      </c>
      <c r="C27" s="16">
        <f>9806+10211</f>
        <v>20017</v>
      </c>
      <c r="D27" s="68" t="s">
        <v>497</v>
      </c>
      <c r="E27" s="68"/>
      <c r="F27" s="68"/>
      <c r="G27" s="16">
        <v>7991</v>
      </c>
    </row>
    <row r="28" spans="1:7" x14ac:dyDescent="0.2">
      <c r="A28" s="14" t="s">
        <v>21</v>
      </c>
      <c r="B28" s="9" t="s">
        <v>22</v>
      </c>
      <c r="C28" s="16">
        <v>0</v>
      </c>
      <c r="D28" s="68"/>
      <c r="E28" s="68"/>
      <c r="F28" s="68"/>
      <c r="G28" s="16">
        <v>7965</v>
      </c>
    </row>
    <row r="29" spans="1:7" x14ac:dyDescent="0.2">
      <c r="A29" s="14" t="s">
        <v>23</v>
      </c>
      <c r="B29" s="9" t="s">
        <v>24</v>
      </c>
      <c r="C29" s="16">
        <v>463883</v>
      </c>
      <c r="D29" s="68" t="s">
        <v>498</v>
      </c>
      <c r="E29" s="68"/>
      <c r="F29" s="68"/>
      <c r="G29" s="16">
        <v>402073</v>
      </c>
    </row>
    <row r="30" spans="1:7" x14ac:dyDescent="0.2">
      <c r="A30" s="14" t="s">
        <v>25</v>
      </c>
      <c r="B30" s="9" t="s">
        <v>26</v>
      </c>
      <c r="C30" s="16">
        <v>79567</v>
      </c>
      <c r="D30" s="68" t="s">
        <v>499</v>
      </c>
      <c r="E30" s="11"/>
      <c r="F30" s="11"/>
      <c r="G30" s="16">
        <v>77114</v>
      </c>
    </row>
    <row r="31" spans="1:7" x14ac:dyDescent="0.2">
      <c r="A31" s="14" t="s">
        <v>27</v>
      </c>
      <c r="B31" s="9" t="s">
        <v>28</v>
      </c>
      <c r="C31" s="16">
        <v>2200</v>
      </c>
      <c r="D31" s="68" t="s">
        <v>500</v>
      </c>
      <c r="E31" s="11"/>
      <c r="F31" s="11"/>
      <c r="G31" s="16">
        <v>50084</v>
      </c>
    </row>
    <row r="32" spans="1:7" x14ac:dyDescent="0.2">
      <c r="A32" s="14" t="s">
        <v>29</v>
      </c>
      <c r="B32" s="9" t="s">
        <v>30</v>
      </c>
      <c r="C32" s="17">
        <v>8390</v>
      </c>
      <c r="D32" s="68" t="s">
        <v>501</v>
      </c>
      <c r="E32" s="68"/>
      <c r="F32" s="68"/>
      <c r="G32" s="17">
        <v>14604</v>
      </c>
    </row>
    <row r="33" spans="1:7" x14ac:dyDescent="0.2">
      <c r="A33" s="12" t="s">
        <v>31</v>
      </c>
      <c r="B33" s="12"/>
      <c r="C33" s="18">
        <f>SUM(C27:C32)</f>
        <v>574057</v>
      </c>
      <c r="D33" s="1"/>
      <c r="E33" s="1"/>
      <c r="F33" s="1"/>
      <c r="G33" s="18">
        <f>SUM(G27:G32)</f>
        <v>559831</v>
      </c>
    </row>
    <row r="34" spans="1:7" x14ac:dyDescent="0.2">
      <c r="A34" s="9"/>
      <c r="B34" s="9"/>
      <c r="C34" s="10"/>
      <c r="D34" s="11" t="s">
        <v>2</v>
      </c>
      <c r="E34" s="11"/>
      <c r="F34" s="11"/>
      <c r="G34" s="10"/>
    </row>
    <row r="35" spans="1:7" x14ac:dyDescent="0.2">
      <c r="A35" s="9"/>
      <c r="B35" s="9"/>
      <c r="C35" s="10"/>
      <c r="D35" s="11" t="s">
        <v>2</v>
      </c>
      <c r="E35" s="11"/>
      <c r="F35" s="11"/>
      <c r="G35" s="10"/>
    </row>
    <row r="36" spans="1:7" x14ac:dyDescent="0.2">
      <c r="A36" s="12" t="s">
        <v>32</v>
      </c>
      <c r="B36" s="12"/>
      <c r="C36" s="13"/>
      <c r="D36" s="1" t="s">
        <v>2</v>
      </c>
      <c r="E36" s="1"/>
      <c r="F36" s="1"/>
      <c r="G36" s="13"/>
    </row>
    <row r="37" spans="1:7" x14ac:dyDescent="0.2">
      <c r="A37" s="14" t="s">
        <v>33</v>
      </c>
      <c r="B37" s="9"/>
      <c r="C37" s="16">
        <v>1476277</v>
      </c>
      <c r="D37" s="11" t="s">
        <v>2</v>
      </c>
      <c r="E37" s="11"/>
      <c r="F37" s="11"/>
      <c r="G37" s="16">
        <v>1283839</v>
      </c>
    </row>
    <row r="38" spans="1:7" x14ac:dyDescent="0.2">
      <c r="A38" s="9"/>
      <c r="B38" s="9"/>
      <c r="C38" s="19"/>
      <c r="D38" s="11" t="s">
        <v>2</v>
      </c>
      <c r="E38" s="11"/>
      <c r="F38" s="11"/>
      <c r="G38" s="19"/>
    </row>
    <row r="39" spans="1:7" x14ac:dyDescent="0.2">
      <c r="A39" s="12" t="s">
        <v>34</v>
      </c>
      <c r="B39" s="12"/>
      <c r="C39" s="18">
        <f>+C37</f>
        <v>1476277</v>
      </c>
      <c r="D39" s="1" t="s">
        <v>2</v>
      </c>
      <c r="E39" s="1"/>
      <c r="F39" s="1"/>
      <c r="G39" s="18">
        <f>+G37</f>
        <v>1283839</v>
      </c>
    </row>
    <row r="40" spans="1:7" x14ac:dyDescent="0.2">
      <c r="A40" s="9"/>
      <c r="B40" s="9"/>
      <c r="C40" s="19"/>
      <c r="D40" s="11" t="s">
        <v>2</v>
      </c>
      <c r="E40" s="11"/>
      <c r="F40" s="11"/>
      <c r="G40" s="19"/>
    </row>
    <row r="41" spans="1:7" ht="15.75" x14ac:dyDescent="0.25">
      <c r="A41" s="6" t="s">
        <v>35</v>
      </c>
      <c r="B41" s="6"/>
      <c r="C41" s="20">
        <f>+C39+C33</f>
        <v>2050334</v>
      </c>
      <c r="D41" s="8" t="s">
        <v>2</v>
      </c>
      <c r="E41" s="8"/>
      <c r="F41" s="8"/>
      <c r="G41" s="20">
        <f>+G39+G33</f>
        <v>1843670</v>
      </c>
    </row>
    <row r="42" spans="1:7" x14ac:dyDescent="0.2">
      <c r="A42" s="12"/>
      <c r="B42" s="12"/>
      <c r="C42" s="21"/>
      <c r="D42" s="1" t="s">
        <v>2</v>
      </c>
      <c r="E42" s="1"/>
      <c r="F42" s="1"/>
      <c r="G42" s="21"/>
    </row>
    <row r="43" spans="1:7" x14ac:dyDescent="0.2">
      <c r="A43" s="9"/>
      <c r="B43" s="9"/>
      <c r="C43" s="10"/>
      <c r="D43" s="11" t="s">
        <v>2</v>
      </c>
      <c r="E43" s="11"/>
      <c r="F43" s="11"/>
      <c r="G43" s="10"/>
    </row>
  </sheetData>
  <mergeCells count="4">
    <mergeCell ref="A1:G1"/>
    <mergeCell ref="A2:G2"/>
    <mergeCell ref="A3:G3"/>
    <mergeCell ref="A4:G4"/>
  </mergeCells>
  <printOptions horizontalCentered="1"/>
  <pageMargins left="0.75" right="0.75" top="1" bottom="0.75" header="0.03" footer="0.03"/>
  <pageSetup pageOrder="overThenDown" orientation="portrait" r:id="rId1"/>
  <headerFooter>
    <oddHeader>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workbookViewId="0">
      <pane ySplit="6" topLeftCell="A7" activePane="bottomLeft" state="frozen"/>
      <selection pane="bottomLeft" activeCell="A2" sqref="A2:K2"/>
    </sheetView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s="81" customFormat="1" ht="15.75" x14ac:dyDescent="0.25">
      <c r="A1" s="85" t="s">
        <v>478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81" customFormat="1" ht="15.75" x14ac:dyDescent="0.25">
      <c r="A2" s="85" t="s">
        <v>479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81" customFormat="1" ht="15.75" x14ac:dyDescent="0.25">
      <c r="A3" s="85" t="s">
        <v>480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">
      <c r="C4" s="76">
        <v>43435</v>
      </c>
      <c r="E4" s="86" t="s">
        <v>37</v>
      </c>
      <c r="F4" s="86"/>
      <c r="G4" s="86"/>
      <c r="I4" s="86" t="s">
        <v>40</v>
      </c>
      <c r="J4" s="86"/>
      <c r="K4" s="86"/>
    </row>
    <row r="5" spans="1:11" x14ac:dyDescent="0.2">
      <c r="G5" s="1" t="s">
        <v>36</v>
      </c>
      <c r="J5" s="1" t="s">
        <v>36</v>
      </c>
      <c r="K5" s="1" t="s">
        <v>41</v>
      </c>
    </row>
    <row r="6" spans="1:11" x14ac:dyDescent="0.2">
      <c r="C6" s="2" t="s">
        <v>36</v>
      </c>
      <c r="E6" s="2" t="s">
        <v>36</v>
      </c>
      <c r="F6" s="2" t="s">
        <v>38</v>
      </c>
      <c r="G6" s="2" t="s">
        <v>39</v>
      </c>
      <c r="I6" s="2" t="s">
        <v>38</v>
      </c>
      <c r="J6" s="2" t="s">
        <v>39</v>
      </c>
      <c r="K6" s="2" t="s">
        <v>36</v>
      </c>
    </row>
    <row r="7" spans="1:11" x14ac:dyDescent="0.2">
      <c r="A7" s="9"/>
      <c r="B7" s="9"/>
      <c r="C7" s="10"/>
      <c r="D7" s="11" t="s">
        <v>2</v>
      </c>
      <c r="E7" s="10"/>
      <c r="F7" s="10"/>
      <c r="G7" s="10"/>
      <c r="H7" s="11" t="s">
        <v>2</v>
      </c>
      <c r="I7" s="10"/>
      <c r="J7" s="10"/>
      <c r="K7" s="10"/>
    </row>
    <row r="8" spans="1:11" x14ac:dyDescent="0.2">
      <c r="A8" s="9"/>
      <c r="B8" s="9"/>
      <c r="C8" s="10"/>
      <c r="D8" s="11" t="s">
        <v>2</v>
      </c>
      <c r="E8" s="10"/>
      <c r="F8" s="10"/>
      <c r="G8" s="10"/>
      <c r="H8" s="11" t="s">
        <v>2</v>
      </c>
      <c r="I8" s="10"/>
      <c r="J8" s="10"/>
      <c r="K8" s="10"/>
    </row>
    <row r="9" spans="1:11" x14ac:dyDescent="0.2">
      <c r="A9" s="22" t="s">
        <v>42</v>
      </c>
      <c r="B9" s="22"/>
      <c r="C9" s="23"/>
      <c r="D9" s="24" t="s">
        <v>2</v>
      </c>
      <c r="E9" s="23"/>
      <c r="F9" s="23"/>
      <c r="G9" s="23"/>
      <c r="H9" s="24" t="s">
        <v>2</v>
      </c>
      <c r="I9" s="23"/>
      <c r="J9" s="23"/>
      <c r="K9" s="23"/>
    </row>
    <row r="10" spans="1:11" x14ac:dyDescent="0.2">
      <c r="A10" s="14" t="s">
        <v>43</v>
      </c>
      <c r="B10" s="9" t="s">
        <v>44</v>
      </c>
      <c r="C10" s="15">
        <v>0</v>
      </c>
      <c r="D10" s="11" t="s">
        <v>2</v>
      </c>
      <c r="E10" s="15">
        <v>1200591</v>
      </c>
      <c r="F10" s="15">
        <v>933450</v>
      </c>
      <c r="G10" s="25">
        <f>+E10/F10</f>
        <v>1.2861867266591676</v>
      </c>
      <c r="H10" s="11" t="s">
        <v>2</v>
      </c>
      <c r="I10" s="15">
        <v>933450</v>
      </c>
      <c r="J10" s="25">
        <f>+E10/I10</f>
        <v>1.2861867266591676</v>
      </c>
      <c r="K10" s="15">
        <v>947664</v>
      </c>
    </row>
    <row r="11" spans="1:11" x14ac:dyDescent="0.2">
      <c r="A11" s="14" t="s">
        <v>45</v>
      </c>
      <c r="B11" s="9" t="s">
        <v>46</v>
      </c>
      <c r="C11" s="16">
        <v>0</v>
      </c>
      <c r="D11" s="11" t="s">
        <v>2</v>
      </c>
      <c r="E11" s="16">
        <v>406778</v>
      </c>
      <c r="F11" s="16">
        <v>449850</v>
      </c>
      <c r="G11" s="25">
        <f t="shared" ref="G11:G12" si="0">+E11/F11</f>
        <v>0.90425252862065131</v>
      </c>
      <c r="H11" s="11" t="s">
        <v>2</v>
      </c>
      <c r="I11" s="16">
        <v>449850</v>
      </c>
      <c r="J11" s="25">
        <f t="shared" ref="J11:J12" si="1">+E11/I11</f>
        <v>0.90425252862065131</v>
      </c>
      <c r="K11" s="16">
        <v>446864</v>
      </c>
    </row>
    <row r="12" spans="1:11" x14ac:dyDescent="0.2">
      <c r="A12" s="14" t="s">
        <v>47</v>
      </c>
      <c r="B12" s="9" t="s">
        <v>48</v>
      </c>
      <c r="C12" s="16">
        <v>550</v>
      </c>
      <c r="D12" s="11" t="s">
        <v>2</v>
      </c>
      <c r="E12" s="16">
        <f>550+52450</f>
        <v>53000</v>
      </c>
      <c r="F12" s="16">
        <v>47550</v>
      </c>
      <c r="G12" s="25">
        <f t="shared" si="0"/>
        <v>1.1146161934805467</v>
      </c>
      <c r="H12" s="11" t="s">
        <v>2</v>
      </c>
      <c r="I12" s="16">
        <v>47550</v>
      </c>
      <c r="J12" s="25">
        <f t="shared" si="1"/>
        <v>1.1146161934805467</v>
      </c>
      <c r="K12" s="16">
        <v>47130</v>
      </c>
    </row>
    <row r="13" spans="1:11" x14ac:dyDescent="0.2">
      <c r="A13" s="14" t="s">
        <v>49</v>
      </c>
      <c r="B13" s="9" t="s">
        <v>50</v>
      </c>
      <c r="C13" s="17">
        <v>921</v>
      </c>
      <c r="D13" s="11" t="s">
        <v>2</v>
      </c>
      <c r="E13" s="17">
        <f>921+20166</f>
        <v>21087</v>
      </c>
      <c r="F13" s="17">
        <v>45000</v>
      </c>
      <c r="G13" s="77">
        <f>+E13/F13</f>
        <v>0.46860000000000002</v>
      </c>
      <c r="H13" s="11" t="s">
        <v>2</v>
      </c>
      <c r="I13" s="17">
        <v>45000</v>
      </c>
      <c r="J13" s="26">
        <f>+E13/I13</f>
        <v>0.46860000000000002</v>
      </c>
      <c r="K13" s="17">
        <v>23498</v>
      </c>
    </row>
    <row r="14" spans="1:11" x14ac:dyDescent="0.2">
      <c r="A14" s="9"/>
      <c r="B14" s="9"/>
      <c r="C14" s="10"/>
      <c r="D14" s="11" t="s">
        <v>2</v>
      </c>
      <c r="E14" s="10"/>
      <c r="F14" s="10"/>
      <c r="G14" s="10"/>
      <c r="H14" s="11" t="s">
        <v>2</v>
      </c>
      <c r="I14" s="10"/>
      <c r="J14" s="10"/>
      <c r="K14" s="10"/>
    </row>
    <row r="15" spans="1:11" x14ac:dyDescent="0.2">
      <c r="A15" s="22" t="s">
        <v>51</v>
      </c>
      <c r="B15" s="22"/>
      <c r="C15" s="27">
        <f>SUM(C10:C14)</f>
        <v>1471</v>
      </c>
      <c r="D15" s="24" t="s">
        <v>2</v>
      </c>
      <c r="E15" s="27">
        <f t="shared" ref="E15:F15" si="2">SUM(E10:E14)</f>
        <v>1681456</v>
      </c>
      <c r="F15" s="27">
        <f t="shared" si="2"/>
        <v>1475850</v>
      </c>
      <c r="G15" s="28">
        <f>+E15/F15</f>
        <v>1.1393136158823729</v>
      </c>
      <c r="H15" s="24" t="s">
        <v>2</v>
      </c>
      <c r="I15" s="27">
        <f t="shared" ref="I15" si="3">SUM(I10:I14)</f>
        <v>1475850</v>
      </c>
      <c r="J15" s="28">
        <f>+E15/F15</f>
        <v>1.1393136158823729</v>
      </c>
      <c r="K15" s="27">
        <f t="shared" ref="K15" si="4">SUM(K10:K14)</f>
        <v>1465156</v>
      </c>
    </row>
    <row r="16" spans="1:11" x14ac:dyDescent="0.2">
      <c r="A16" s="9"/>
      <c r="B16" s="9"/>
      <c r="C16" s="10"/>
      <c r="D16" s="11" t="s">
        <v>2</v>
      </c>
      <c r="E16" s="10"/>
      <c r="F16" s="10"/>
      <c r="G16" s="10"/>
      <c r="H16" s="11" t="s">
        <v>2</v>
      </c>
      <c r="I16" s="10"/>
      <c r="J16" s="10"/>
      <c r="K16" s="10"/>
    </row>
    <row r="17" spans="1:11" x14ac:dyDescent="0.2">
      <c r="A17" s="9"/>
      <c r="B17" s="9"/>
      <c r="C17" s="10"/>
      <c r="D17" s="11" t="s">
        <v>2</v>
      </c>
      <c r="E17" s="10"/>
      <c r="F17" s="10"/>
      <c r="G17" s="10"/>
      <c r="H17" s="11" t="s">
        <v>2</v>
      </c>
      <c r="I17" s="10"/>
      <c r="J17" s="10"/>
      <c r="K17" s="10"/>
    </row>
    <row r="18" spans="1:11" x14ac:dyDescent="0.2">
      <c r="A18" s="22" t="s">
        <v>52</v>
      </c>
      <c r="B18" s="22"/>
      <c r="C18" s="23"/>
      <c r="D18" s="24" t="s">
        <v>2</v>
      </c>
      <c r="E18" s="23"/>
      <c r="F18" s="23"/>
      <c r="G18" s="23"/>
      <c r="H18" s="24" t="s">
        <v>2</v>
      </c>
      <c r="I18" s="23"/>
      <c r="J18" s="23"/>
      <c r="K18" s="23"/>
    </row>
    <row r="19" spans="1:11" x14ac:dyDescent="0.2">
      <c r="A19" s="14" t="s">
        <v>43</v>
      </c>
      <c r="B19" s="9" t="s">
        <v>53</v>
      </c>
      <c r="C19" s="16">
        <v>1641</v>
      </c>
      <c r="D19" s="11" t="s">
        <v>2</v>
      </c>
      <c r="E19" s="16">
        <f>1641+13136</f>
        <v>14777</v>
      </c>
      <c r="F19" s="16">
        <v>23745</v>
      </c>
      <c r="G19" s="25">
        <f>+E19/F19</f>
        <v>0.62232048852389976</v>
      </c>
      <c r="H19" s="11" t="s">
        <v>2</v>
      </c>
      <c r="I19" s="16">
        <v>23745</v>
      </c>
      <c r="J19" s="25">
        <f t="shared" ref="J19:J22" si="5">+E19/I19</f>
        <v>0.62232048852389976</v>
      </c>
      <c r="K19" s="16">
        <v>6809</v>
      </c>
    </row>
    <row r="20" spans="1:11" x14ac:dyDescent="0.2">
      <c r="A20" s="14" t="s">
        <v>45</v>
      </c>
      <c r="B20" s="9" t="s">
        <v>54</v>
      </c>
      <c r="C20" s="16">
        <v>0</v>
      </c>
      <c r="D20" s="11" t="s">
        <v>2</v>
      </c>
      <c r="E20" s="16">
        <v>301557</v>
      </c>
      <c r="F20" s="16">
        <v>325900</v>
      </c>
      <c r="G20" s="25">
        <f t="shared" ref="G20:G22" si="6">+E20/F20</f>
        <v>0.92530530837680269</v>
      </c>
      <c r="H20" s="11" t="s">
        <v>2</v>
      </c>
      <c r="I20" s="16">
        <v>325900</v>
      </c>
      <c r="J20" s="25">
        <f t="shared" si="5"/>
        <v>0.92530530837680269</v>
      </c>
      <c r="K20" s="16">
        <v>279568</v>
      </c>
    </row>
    <row r="21" spans="1:11" x14ac:dyDescent="0.2">
      <c r="A21" s="14" t="s">
        <v>47</v>
      </c>
      <c r="B21" s="9" t="s">
        <v>55</v>
      </c>
      <c r="C21" s="16">
        <v>159</v>
      </c>
      <c r="D21" s="11" t="s">
        <v>2</v>
      </c>
      <c r="E21" s="16">
        <f>159+13779</f>
        <v>13938</v>
      </c>
      <c r="F21" s="16">
        <v>21435</v>
      </c>
      <c r="G21" s="25">
        <f t="shared" si="6"/>
        <v>0.65024492652204335</v>
      </c>
      <c r="H21" s="11" t="s">
        <v>2</v>
      </c>
      <c r="I21" s="16">
        <v>21435</v>
      </c>
      <c r="J21" s="25">
        <f t="shared" si="5"/>
        <v>0.65024492652204335</v>
      </c>
      <c r="K21" s="16">
        <v>22955</v>
      </c>
    </row>
    <row r="22" spans="1:11" x14ac:dyDescent="0.2">
      <c r="A22" s="14" t="s">
        <v>49</v>
      </c>
      <c r="B22" s="9" t="s">
        <v>56</v>
      </c>
      <c r="C22" s="16">
        <v>88285</v>
      </c>
      <c r="D22" s="11" t="s">
        <v>2</v>
      </c>
      <c r="E22" s="16">
        <f>88285+796987</f>
        <v>885272</v>
      </c>
      <c r="F22" s="16">
        <v>851286</v>
      </c>
      <c r="G22" s="25">
        <f t="shared" si="6"/>
        <v>1.0399231280674179</v>
      </c>
      <c r="H22" s="11" t="s">
        <v>2</v>
      </c>
      <c r="I22" s="16">
        <v>851286</v>
      </c>
      <c r="J22" s="25">
        <f t="shared" si="5"/>
        <v>1.0399231280674179</v>
      </c>
      <c r="K22" s="16">
        <v>688950</v>
      </c>
    </row>
    <row r="23" spans="1:11" x14ac:dyDescent="0.2">
      <c r="A23" s="14" t="s">
        <v>57</v>
      </c>
      <c r="B23" s="9" t="s">
        <v>58</v>
      </c>
      <c r="C23" s="17">
        <v>22968</v>
      </c>
      <c r="D23" s="11" t="s">
        <v>2</v>
      </c>
      <c r="E23" s="17">
        <f>22968+233871</f>
        <v>256839</v>
      </c>
      <c r="F23" s="17">
        <v>304695</v>
      </c>
      <c r="G23" s="77">
        <f>+E23/F23</f>
        <v>0.8429380199872003</v>
      </c>
      <c r="H23" s="11" t="s">
        <v>2</v>
      </c>
      <c r="I23" s="17">
        <v>304695</v>
      </c>
      <c r="J23" s="26">
        <f>+E23/I23</f>
        <v>0.8429380199872003</v>
      </c>
      <c r="K23" s="17">
        <v>242145</v>
      </c>
    </row>
    <row r="24" spans="1:11" x14ac:dyDescent="0.2">
      <c r="A24" s="9"/>
      <c r="B24" s="9"/>
      <c r="C24" s="10"/>
      <c r="D24" s="11" t="s">
        <v>2</v>
      </c>
      <c r="E24" s="10"/>
      <c r="F24" s="10"/>
      <c r="G24" s="10"/>
      <c r="H24" s="11" t="s">
        <v>2</v>
      </c>
      <c r="I24" s="10"/>
      <c r="J24" s="10"/>
      <c r="K24" s="10"/>
    </row>
    <row r="25" spans="1:11" x14ac:dyDescent="0.2">
      <c r="A25" s="22" t="s">
        <v>59</v>
      </c>
      <c r="B25" s="22"/>
      <c r="C25" s="27">
        <f>SUM(C19:C24)</f>
        <v>113053</v>
      </c>
      <c r="D25" s="24" t="s">
        <v>2</v>
      </c>
      <c r="E25" s="27">
        <f t="shared" ref="E25:F25" si="7">SUM(E19:E24)</f>
        <v>1472383</v>
      </c>
      <c r="F25" s="27">
        <f t="shared" si="7"/>
        <v>1527061</v>
      </c>
      <c r="G25" s="28">
        <f>+E25/F25</f>
        <v>0.96419396474666041</v>
      </c>
      <c r="H25" s="24" t="s">
        <v>2</v>
      </c>
      <c r="I25" s="27">
        <f t="shared" ref="I25" si="8">SUM(I19:I24)</f>
        <v>1527061</v>
      </c>
      <c r="J25" s="28">
        <f>+E25/F25</f>
        <v>0.96419396474666041</v>
      </c>
      <c r="K25" s="27">
        <f t="shared" ref="K25" si="9">SUM(K19:K24)</f>
        <v>1240427</v>
      </c>
    </row>
    <row r="26" spans="1:11" x14ac:dyDescent="0.2">
      <c r="A26" s="9"/>
      <c r="B26" s="9"/>
      <c r="C26" s="19"/>
      <c r="D26" s="11" t="s">
        <v>2</v>
      </c>
      <c r="E26" s="19"/>
      <c r="F26" s="19"/>
      <c r="G26" s="19"/>
      <c r="H26" s="11" t="s">
        <v>2</v>
      </c>
      <c r="I26" s="19"/>
      <c r="J26" s="19"/>
      <c r="K26" s="19"/>
    </row>
    <row r="27" spans="1:11" x14ac:dyDescent="0.2">
      <c r="A27" s="22" t="s">
        <v>60</v>
      </c>
      <c r="B27" s="22"/>
      <c r="C27" s="27">
        <f>+C15-C25</f>
        <v>-111582</v>
      </c>
      <c r="D27" s="24" t="s">
        <v>2</v>
      </c>
      <c r="E27" s="27">
        <f>+E15-E25</f>
        <v>209073</v>
      </c>
      <c r="F27" s="27">
        <f>+F15-F25</f>
        <v>-51211</v>
      </c>
      <c r="G27" s="28">
        <f>+E27/-F27</f>
        <v>4.0825799144715003</v>
      </c>
      <c r="H27" s="24" t="s">
        <v>2</v>
      </c>
      <c r="I27" s="27">
        <f>+I15-I25</f>
        <v>-51211</v>
      </c>
      <c r="J27" s="28">
        <f>+E27/F27</f>
        <v>-4.0825799144715003</v>
      </c>
      <c r="K27" s="27">
        <f>+K15-K25</f>
        <v>224729</v>
      </c>
    </row>
    <row r="28" spans="1:11" x14ac:dyDescent="0.2">
      <c r="A28" s="9"/>
      <c r="B28" s="9"/>
      <c r="C28" s="29"/>
      <c r="D28" s="11" t="s">
        <v>2</v>
      </c>
      <c r="E28" s="29"/>
      <c r="F28" s="29"/>
      <c r="G28" s="29"/>
      <c r="H28" s="11" t="s">
        <v>2</v>
      </c>
      <c r="I28" s="29"/>
      <c r="J28" s="29"/>
      <c r="K28" s="29"/>
    </row>
    <row r="29" spans="1:11" x14ac:dyDescent="0.2">
      <c r="A29" s="9"/>
      <c r="B29" s="9"/>
      <c r="C29" s="10"/>
      <c r="D29" s="11" t="s">
        <v>2</v>
      </c>
      <c r="E29" s="10"/>
      <c r="F29" s="10"/>
      <c r="G29" s="10"/>
      <c r="H29" s="11" t="s">
        <v>2</v>
      </c>
      <c r="I29" s="10"/>
      <c r="J29" s="10"/>
      <c r="K29" s="10"/>
    </row>
    <row r="30" spans="1:11" x14ac:dyDescent="0.2">
      <c r="A30" s="22" t="s">
        <v>61</v>
      </c>
      <c r="B30" s="22"/>
      <c r="C30" s="23"/>
      <c r="D30" s="24" t="s">
        <v>2</v>
      </c>
      <c r="E30" s="23"/>
      <c r="F30" s="23"/>
      <c r="G30" s="23"/>
      <c r="H30" s="24" t="s">
        <v>2</v>
      </c>
      <c r="I30" s="23"/>
      <c r="J30" s="23"/>
      <c r="K30" s="23"/>
    </row>
    <row r="31" spans="1:11" x14ac:dyDescent="0.2">
      <c r="A31" s="14" t="s">
        <v>62</v>
      </c>
      <c r="B31" s="9" t="s">
        <v>63</v>
      </c>
      <c r="C31" s="16">
        <v>2</v>
      </c>
      <c r="D31" s="11" t="s">
        <v>2</v>
      </c>
      <c r="E31" s="16">
        <f>-9454+2</f>
        <v>-9452</v>
      </c>
      <c r="F31" s="16">
        <v>73200</v>
      </c>
      <c r="G31" s="25">
        <f t="shared" ref="G31:G32" si="10">+E31/F31</f>
        <v>-0.1291256830601093</v>
      </c>
      <c r="H31" s="11" t="s">
        <v>2</v>
      </c>
      <c r="I31" s="16">
        <v>73200</v>
      </c>
      <c r="J31" s="25">
        <f t="shared" ref="J31:J32" si="11">+E31/I31</f>
        <v>-0.1291256830601093</v>
      </c>
      <c r="K31" s="16">
        <v>86287</v>
      </c>
    </row>
    <row r="32" spans="1:11" x14ac:dyDescent="0.2">
      <c r="A32" s="14" t="s">
        <v>64</v>
      </c>
      <c r="B32" s="9" t="s">
        <v>65</v>
      </c>
      <c r="C32" s="16">
        <v>0</v>
      </c>
      <c r="D32" s="11" t="s">
        <v>2</v>
      </c>
      <c r="E32" s="16">
        <v>-7183</v>
      </c>
      <c r="F32" s="16">
        <v>-7200</v>
      </c>
      <c r="G32" s="25">
        <f t="shared" si="10"/>
        <v>0.99763888888888885</v>
      </c>
      <c r="H32" s="11" t="s">
        <v>2</v>
      </c>
      <c r="I32" s="16">
        <v>-7200</v>
      </c>
      <c r="J32" s="25">
        <f t="shared" si="11"/>
        <v>0.99763888888888885</v>
      </c>
      <c r="K32" s="16">
        <v>-6778</v>
      </c>
    </row>
    <row r="33" spans="1:11" x14ac:dyDescent="0.2">
      <c r="A33" s="14"/>
      <c r="B33" s="9"/>
      <c r="C33" s="19"/>
      <c r="D33" s="11" t="s">
        <v>2</v>
      </c>
      <c r="E33" s="19"/>
      <c r="F33" s="19"/>
      <c r="G33" s="19"/>
      <c r="H33" s="11" t="s">
        <v>2</v>
      </c>
      <c r="I33" s="19"/>
      <c r="J33" s="19"/>
      <c r="K33" s="19"/>
    </row>
    <row r="34" spans="1:11" x14ac:dyDescent="0.2">
      <c r="A34" s="22" t="s">
        <v>66</v>
      </c>
      <c r="B34" s="22"/>
      <c r="C34" s="27">
        <f>SUM(C31:C33)</f>
        <v>2</v>
      </c>
      <c r="D34" s="24" t="s">
        <v>2</v>
      </c>
      <c r="E34" s="27">
        <f t="shared" ref="E34:F34" si="12">SUM(E31:E33)</f>
        <v>-16635</v>
      </c>
      <c r="F34" s="27">
        <f t="shared" si="12"/>
        <v>66000</v>
      </c>
      <c r="G34" s="28">
        <f>E34/F34</f>
        <v>-0.25204545454545457</v>
      </c>
      <c r="H34" s="24" t="s">
        <v>2</v>
      </c>
      <c r="I34" s="27">
        <f t="shared" ref="I34" si="13">SUM(I31:I33)</f>
        <v>66000</v>
      </c>
      <c r="J34" s="28">
        <f>+E34/F34</f>
        <v>-0.25204545454545457</v>
      </c>
      <c r="K34" s="27">
        <f t="shared" ref="K34" si="14">SUM(K31:K33)</f>
        <v>79509</v>
      </c>
    </row>
    <row r="35" spans="1:11" x14ac:dyDescent="0.2">
      <c r="A35" s="9"/>
      <c r="B35" s="9"/>
      <c r="C35" s="10"/>
      <c r="D35" s="11" t="s">
        <v>2</v>
      </c>
      <c r="E35" s="10"/>
      <c r="F35" s="10"/>
      <c r="G35" s="10"/>
      <c r="H35" s="11" t="s">
        <v>2</v>
      </c>
      <c r="I35" s="10"/>
      <c r="J35" s="10"/>
      <c r="K35" s="10"/>
    </row>
    <row r="36" spans="1:11" x14ac:dyDescent="0.2">
      <c r="A36" s="9"/>
      <c r="B36" s="9"/>
      <c r="C36" s="19"/>
      <c r="D36" s="11" t="s">
        <v>2</v>
      </c>
      <c r="E36" s="19"/>
      <c r="F36" s="19"/>
      <c r="G36" s="19"/>
      <c r="H36" s="11" t="s">
        <v>2</v>
      </c>
      <c r="I36" s="19"/>
      <c r="J36" s="19"/>
      <c r="K36" s="19"/>
    </row>
    <row r="37" spans="1:11" x14ac:dyDescent="0.2">
      <c r="A37" s="30" t="s">
        <v>67</v>
      </c>
      <c r="B37" s="30"/>
      <c r="C37" s="31">
        <f>+C27+C34</f>
        <v>-111580</v>
      </c>
      <c r="D37" s="32" t="s">
        <v>2</v>
      </c>
      <c r="E37" s="31">
        <f>+E27+E34</f>
        <v>192438</v>
      </c>
      <c r="F37" s="31">
        <f>+F27+F34</f>
        <v>14789</v>
      </c>
      <c r="G37" s="33">
        <f>+E37/F37</f>
        <v>13.012238826154574</v>
      </c>
      <c r="H37" s="32" t="s">
        <v>2</v>
      </c>
      <c r="I37" s="31">
        <f>+I27+I34</f>
        <v>14789</v>
      </c>
      <c r="J37" s="33">
        <f>+E37/I37</f>
        <v>13.012238826154574</v>
      </c>
      <c r="K37" s="31">
        <f>+K27+K34</f>
        <v>304238</v>
      </c>
    </row>
    <row r="38" spans="1:11" x14ac:dyDescent="0.2">
      <c r="A38" s="9"/>
      <c r="B38" s="9"/>
      <c r="C38" s="29"/>
      <c r="D38" s="11" t="s">
        <v>2</v>
      </c>
      <c r="E38" s="29"/>
      <c r="F38" s="29"/>
      <c r="G38" s="29"/>
      <c r="H38" s="11" t="s">
        <v>2</v>
      </c>
      <c r="I38" s="29"/>
      <c r="J38" s="29"/>
      <c r="K38" s="29"/>
    </row>
    <row r="39" spans="1:11" x14ac:dyDescent="0.2">
      <c r="A39" s="9"/>
      <c r="B39" s="9"/>
      <c r="C39" s="10"/>
      <c r="D39" s="11" t="s">
        <v>2</v>
      </c>
      <c r="E39" s="10"/>
      <c r="F39" s="10"/>
      <c r="G39" s="10"/>
      <c r="H39" s="11" t="s">
        <v>2</v>
      </c>
      <c r="I39" s="10"/>
      <c r="J39" s="10"/>
      <c r="K39" s="10"/>
    </row>
    <row r="40" spans="1:11" x14ac:dyDescent="0.2">
      <c r="A40" s="9"/>
      <c r="B40" s="9"/>
      <c r="C40" s="10"/>
      <c r="D40" s="11" t="s">
        <v>2</v>
      </c>
      <c r="E40" s="10"/>
      <c r="F40" s="10"/>
      <c r="G40" s="10"/>
      <c r="H40" s="11" t="s">
        <v>2</v>
      </c>
      <c r="I40" s="10"/>
      <c r="J40" s="10"/>
      <c r="K40" s="10"/>
    </row>
    <row r="41" spans="1:11" x14ac:dyDescent="0.2">
      <c r="A41" s="9"/>
      <c r="B41" s="9"/>
      <c r="C41" s="10"/>
      <c r="D41" s="11" t="s">
        <v>2</v>
      </c>
      <c r="E41" s="10"/>
      <c r="F41" s="10"/>
      <c r="G41" s="10"/>
      <c r="H41" s="11" t="s">
        <v>2</v>
      </c>
      <c r="I41" s="10"/>
      <c r="J41" s="10"/>
      <c r="K41" s="10"/>
    </row>
  </sheetData>
  <mergeCells count="5">
    <mergeCell ref="E4:G4"/>
    <mergeCell ref="I4:K4"/>
    <mergeCell ref="A1:K1"/>
    <mergeCell ref="A2:K2"/>
    <mergeCell ref="A3:K3"/>
  </mergeCells>
  <printOptions horizontalCentered="1"/>
  <pageMargins left="0.75" right="0.75" top="0.75" bottom="0.75" header="0.03" footer="0.03"/>
  <pageSetup scale="65" pageOrder="overThenDown" orientation="portrait" r:id="rId1"/>
  <headerFooter>
    <oddHeader>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5"/>
  <sheetViews>
    <sheetView workbookViewId="0">
      <pane ySplit="7" topLeftCell="A8" activePane="bottomLeft" state="frozen"/>
      <selection pane="bottomLeft" activeCell="E11" sqref="E11"/>
    </sheetView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s="81" customFormat="1" ht="15.75" x14ac:dyDescent="0.25">
      <c r="A1" s="85" t="s">
        <v>502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81" customFormat="1" ht="15.75" x14ac:dyDescent="0.25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81" customFormat="1" ht="15.75" x14ac:dyDescent="0.25">
      <c r="A3" s="85" t="s">
        <v>505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81" customFormat="1" ht="15.75" x14ac:dyDescent="0.25">
      <c r="A4" s="85" t="s">
        <v>480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x14ac:dyDescent="0.2">
      <c r="C5" s="76">
        <v>43435</v>
      </c>
      <c r="E5" s="86" t="s">
        <v>37</v>
      </c>
      <c r="F5" s="86"/>
      <c r="G5" s="86"/>
      <c r="I5" s="86" t="s">
        <v>40</v>
      </c>
      <c r="J5" s="86"/>
      <c r="K5" s="86"/>
    </row>
    <row r="6" spans="1:11" x14ac:dyDescent="0.2">
      <c r="G6" s="1" t="s">
        <v>36</v>
      </c>
      <c r="J6" s="1" t="s">
        <v>36</v>
      </c>
      <c r="K6" s="1" t="s">
        <v>41</v>
      </c>
    </row>
    <row r="7" spans="1:11" x14ac:dyDescent="0.2">
      <c r="C7" s="2" t="s">
        <v>36</v>
      </c>
      <c r="E7" s="2" t="s">
        <v>36</v>
      </c>
      <c r="F7" s="2" t="s">
        <v>38</v>
      </c>
      <c r="G7" s="2" t="s">
        <v>39</v>
      </c>
      <c r="I7" s="2" t="s">
        <v>38</v>
      </c>
      <c r="J7" s="2" t="s">
        <v>39</v>
      </c>
      <c r="K7" s="2" t="s">
        <v>36</v>
      </c>
    </row>
    <row r="8" spans="1:11" x14ac:dyDescent="0.2">
      <c r="A8" s="9"/>
      <c r="B8" s="9"/>
      <c r="C8" s="10"/>
      <c r="D8" s="11" t="s">
        <v>2</v>
      </c>
      <c r="E8" s="10"/>
      <c r="F8" s="10"/>
      <c r="G8" s="10"/>
      <c r="H8" s="11" t="s">
        <v>2</v>
      </c>
      <c r="I8" s="10"/>
      <c r="J8" s="10"/>
      <c r="K8" s="10"/>
    </row>
    <row r="9" spans="1:11" x14ac:dyDescent="0.2">
      <c r="A9" s="9"/>
      <c r="B9" s="9"/>
      <c r="C9" s="10"/>
      <c r="D9" s="11" t="s">
        <v>2</v>
      </c>
      <c r="E9" s="10"/>
      <c r="F9" s="10"/>
      <c r="G9" s="10"/>
      <c r="H9" s="11" t="s">
        <v>2</v>
      </c>
      <c r="I9" s="10"/>
      <c r="J9" s="10"/>
      <c r="K9" s="10"/>
    </row>
    <row r="10" spans="1:11" x14ac:dyDescent="0.2">
      <c r="A10" s="22" t="s">
        <v>62</v>
      </c>
      <c r="B10" s="22"/>
      <c r="C10" s="23"/>
      <c r="D10" s="24" t="s">
        <v>2</v>
      </c>
      <c r="E10" s="23"/>
      <c r="F10" s="23"/>
      <c r="G10" s="23"/>
      <c r="H10" s="24" t="s">
        <v>2</v>
      </c>
      <c r="I10" s="23"/>
      <c r="J10" s="23"/>
      <c r="K10" s="23"/>
    </row>
    <row r="11" spans="1:11" x14ac:dyDescent="0.2">
      <c r="A11" s="9"/>
      <c r="B11" s="9"/>
      <c r="C11" s="10"/>
      <c r="D11" s="11" t="s">
        <v>2</v>
      </c>
      <c r="E11" s="10"/>
      <c r="F11" s="10"/>
      <c r="G11" s="10"/>
      <c r="H11" s="11" t="s">
        <v>2</v>
      </c>
      <c r="I11" s="10"/>
      <c r="J11" s="10"/>
      <c r="K11" s="10"/>
    </row>
    <row r="12" spans="1:11" x14ac:dyDescent="0.2">
      <c r="A12" s="14" t="s">
        <v>68</v>
      </c>
      <c r="B12" s="9" t="s">
        <v>69</v>
      </c>
      <c r="C12" s="15">
        <v>0</v>
      </c>
      <c r="D12" s="11" t="s">
        <v>2</v>
      </c>
      <c r="E12" s="15">
        <v>570928</v>
      </c>
      <c r="F12" s="15">
        <v>503050</v>
      </c>
      <c r="G12" s="25">
        <f>+E12/F12</f>
        <v>1.1349329092535534</v>
      </c>
      <c r="H12" s="11" t="s">
        <v>2</v>
      </c>
      <c r="I12" s="15">
        <v>503050</v>
      </c>
      <c r="J12" s="25">
        <f>+E12/I12</f>
        <v>1.1349329092535534</v>
      </c>
      <c r="K12" s="15">
        <v>514447</v>
      </c>
    </row>
    <row r="13" spans="1:11" x14ac:dyDescent="0.2">
      <c r="A13" s="14" t="s">
        <v>70</v>
      </c>
      <c r="B13" s="9" t="s">
        <v>71</v>
      </c>
      <c r="C13" s="16">
        <v>0</v>
      </c>
      <c r="D13" s="11" t="s">
        <v>2</v>
      </c>
      <c r="E13" s="16">
        <v>93092</v>
      </c>
      <c r="F13" s="16">
        <v>72000</v>
      </c>
      <c r="G13" s="25">
        <f t="shared" ref="G13:G19" si="0">+E13/F13</f>
        <v>1.2929444444444445</v>
      </c>
      <c r="H13" s="11" t="s">
        <v>2</v>
      </c>
      <c r="I13" s="16">
        <v>72000</v>
      </c>
      <c r="J13" s="25">
        <f t="shared" ref="J13:J25" si="1">+E13/I13</f>
        <v>1.2929444444444445</v>
      </c>
      <c r="K13" s="16">
        <v>101288</v>
      </c>
    </row>
    <row r="14" spans="1:11" x14ac:dyDescent="0.2">
      <c r="A14" s="14" t="s">
        <v>72</v>
      </c>
      <c r="B14" s="9" t="s">
        <v>73</v>
      </c>
      <c r="C14" s="16">
        <v>0</v>
      </c>
      <c r="D14" s="11" t="s">
        <v>2</v>
      </c>
      <c r="E14" s="16">
        <v>6403</v>
      </c>
      <c r="F14" s="16">
        <v>5700</v>
      </c>
      <c r="G14" s="25">
        <f t="shared" si="0"/>
        <v>1.1233333333333333</v>
      </c>
      <c r="H14" s="11" t="s">
        <v>2</v>
      </c>
      <c r="I14" s="16">
        <v>5700</v>
      </c>
      <c r="J14" s="25">
        <f t="shared" si="1"/>
        <v>1.1233333333333333</v>
      </c>
      <c r="K14" s="16">
        <v>5262</v>
      </c>
    </row>
    <row r="15" spans="1:11" x14ac:dyDescent="0.2">
      <c r="A15" s="14" t="s">
        <v>74</v>
      </c>
      <c r="B15" s="9"/>
      <c r="C15" s="10"/>
      <c r="D15" s="11" t="s">
        <v>2</v>
      </c>
      <c r="E15" s="10"/>
      <c r="F15" s="10"/>
      <c r="G15" s="25"/>
      <c r="H15" s="11" t="s">
        <v>2</v>
      </c>
      <c r="I15" s="10"/>
      <c r="J15" s="25"/>
      <c r="K15" s="10"/>
    </row>
    <row r="16" spans="1:11" x14ac:dyDescent="0.2">
      <c r="A16" s="34" t="s">
        <v>75</v>
      </c>
      <c r="B16" s="9" t="s">
        <v>76</v>
      </c>
      <c r="C16" s="16">
        <v>0</v>
      </c>
      <c r="D16" s="11" t="s">
        <v>2</v>
      </c>
      <c r="E16" s="16">
        <v>0</v>
      </c>
      <c r="F16" s="16">
        <v>0</v>
      </c>
      <c r="G16" s="25"/>
      <c r="H16" s="11" t="s">
        <v>2</v>
      </c>
      <c r="I16" s="16">
        <v>0</v>
      </c>
      <c r="J16" s="25">
        <v>0</v>
      </c>
      <c r="K16" s="16">
        <v>25000</v>
      </c>
    </row>
    <row r="17" spans="1:11" x14ac:dyDescent="0.2">
      <c r="A17" s="34" t="s">
        <v>77</v>
      </c>
      <c r="B17" s="9" t="s">
        <v>78</v>
      </c>
      <c r="C17" s="16">
        <v>0</v>
      </c>
      <c r="D17" s="11" t="s">
        <v>2</v>
      </c>
      <c r="E17" s="16">
        <v>78800</v>
      </c>
      <c r="F17" s="16">
        <v>36250</v>
      </c>
      <c r="G17" s="25">
        <f t="shared" si="0"/>
        <v>2.173793103448276</v>
      </c>
      <c r="H17" s="11" t="s">
        <v>2</v>
      </c>
      <c r="I17" s="16">
        <v>36250</v>
      </c>
      <c r="J17" s="25">
        <f t="shared" si="1"/>
        <v>2.173793103448276</v>
      </c>
      <c r="K17" s="16">
        <v>35000</v>
      </c>
    </row>
    <row r="18" spans="1:11" x14ac:dyDescent="0.2">
      <c r="A18" s="34" t="s">
        <v>79</v>
      </c>
      <c r="B18" s="9" t="s">
        <v>80</v>
      </c>
      <c r="C18" s="16">
        <v>0</v>
      </c>
      <c r="D18" s="11" t="s">
        <v>2</v>
      </c>
      <c r="E18" s="16">
        <v>78958</v>
      </c>
      <c r="F18" s="16">
        <v>55000</v>
      </c>
      <c r="G18" s="25">
        <f t="shared" si="0"/>
        <v>1.4356</v>
      </c>
      <c r="H18" s="11" t="s">
        <v>2</v>
      </c>
      <c r="I18" s="16">
        <v>55000</v>
      </c>
      <c r="J18" s="25">
        <f t="shared" si="1"/>
        <v>1.4356</v>
      </c>
      <c r="K18" s="16">
        <v>61667</v>
      </c>
    </row>
    <row r="19" spans="1:11" x14ac:dyDescent="0.2">
      <c r="A19" s="14" t="s">
        <v>81</v>
      </c>
      <c r="B19" s="9" t="s">
        <v>82</v>
      </c>
      <c r="C19" s="16">
        <v>0</v>
      </c>
      <c r="D19" s="11" t="s">
        <v>2</v>
      </c>
      <c r="E19" s="16">
        <v>331000</v>
      </c>
      <c r="F19" s="16">
        <v>241000</v>
      </c>
      <c r="G19" s="25">
        <f t="shared" si="0"/>
        <v>1.3734439834024896</v>
      </c>
      <c r="H19" s="11" t="s">
        <v>2</v>
      </c>
      <c r="I19" s="16">
        <v>241000</v>
      </c>
      <c r="J19" s="25">
        <f t="shared" si="1"/>
        <v>1.3734439834024896</v>
      </c>
      <c r="K19" s="16">
        <v>205000</v>
      </c>
    </row>
    <row r="20" spans="1:11" x14ac:dyDescent="0.2">
      <c r="A20" s="14"/>
      <c r="B20" s="9"/>
      <c r="C20" s="10"/>
      <c r="D20" s="11" t="s">
        <v>2</v>
      </c>
      <c r="E20" s="10"/>
      <c r="F20" s="10"/>
      <c r="G20" s="10"/>
      <c r="H20" s="11" t="s">
        <v>2</v>
      </c>
      <c r="I20" s="10"/>
      <c r="J20" s="25"/>
      <c r="K20" s="10"/>
    </row>
    <row r="21" spans="1:11" x14ac:dyDescent="0.2">
      <c r="A21" s="12" t="s">
        <v>83</v>
      </c>
      <c r="B21" s="12"/>
      <c r="C21" s="13"/>
      <c r="D21" s="1" t="s">
        <v>2</v>
      </c>
      <c r="E21" s="13"/>
      <c r="F21" s="13"/>
      <c r="G21" s="13"/>
      <c r="H21" s="1" t="s">
        <v>2</v>
      </c>
      <c r="I21" s="13"/>
      <c r="J21" s="25"/>
      <c r="K21" s="13"/>
    </row>
    <row r="22" spans="1:11" x14ac:dyDescent="0.2">
      <c r="A22" s="14" t="s">
        <v>84</v>
      </c>
      <c r="B22" s="9" t="s">
        <v>85</v>
      </c>
      <c r="C22" s="16">
        <v>0</v>
      </c>
      <c r="D22" s="11" t="s">
        <v>2</v>
      </c>
      <c r="E22" s="16">
        <v>25000</v>
      </c>
      <c r="F22" s="16">
        <v>0</v>
      </c>
      <c r="G22" s="25">
        <v>0</v>
      </c>
      <c r="H22" s="11" t="s">
        <v>2</v>
      </c>
      <c r="I22" s="16">
        <v>0</v>
      </c>
      <c r="J22" s="78">
        <v>0</v>
      </c>
      <c r="K22" s="16">
        <v>0</v>
      </c>
    </row>
    <row r="23" spans="1:11" x14ac:dyDescent="0.2">
      <c r="A23" s="14"/>
      <c r="B23" s="9"/>
      <c r="C23" s="10"/>
      <c r="D23" s="11" t="s">
        <v>2</v>
      </c>
      <c r="E23" s="10"/>
      <c r="F23" s="10"/>
      <c r="G23" s="10"/>
      <c r="H23" s="11" t="s">
        <v>2</v>
      </c>
      <c r="I23" s="10"/>
      <c r="J23" s="25"/>
      <c r="K23" s="10"/>
    </row>
    <row r="24" spans="1:11" x14ac:dyDescent="0.2">
      <c r="A24" s="12" t="s">
        <v>86</v>
      </c>
      <c r="B24" s="12"/>
      <c r="C24" s="13"/>
      <c r="D24" s="1" t="s">
        <v>2</v>
      </c>
      <c r="E24" s="13"/>
      <c r="F24" s="13"/>
      <c r="G24" s="13"/>
      <c r="H24" s="1" t="s">
        <v>2</v>
      </c>
      <c r="I24" s="13"/>
      <c r="J24" s="25"/>
      <c r="K24" s="13"/>
    </row>
    <row r="25" spans="1:11" x14ac:dyDescent="0.2">
      <c r="A25" s="14" t="s">
        <v>87</v>
      </c>
      <c r="B25" s="9" t="s">
        <v>88</v>
      </c>
      <c r="C25" s="16">
        <v>0</v>
      </c>
      <c r="D25" s="11" t="s">
        <v>2</v>
      </c>
      <c r="E25" s="16">
        <v>16410</v>
      </c>
      <c r="F25" s="16">
        <v>20450</v>
      </c>
      <c r="G25" s="25">
        <v>0</v>
      </c>
      <c r="H25" s="11" t="s">
        <v>2</v>
      </c>
      <c r="I25" s="16">
        <v>20450</v>
      </c>
      <c r="J25" s="25">
        <f t="shared" si="1"/>
        <v>0.80244498777506112</v>
      </c>
      <c r="K25" s="16">
        <v>0</v>
      </c>
    </row>
    <row r="26" spans="1:11" x14ac:dyDescent="0.2">
      <c r="A26" s="9"/>
      <c r="B26" s="9"/>
      <c r="C26" s="19"/>
      <c r="D26" s="11" t="s">
        <v>2</v>
      </c>
      <c r="E26" s="19"/>
      <c r="F26" s="19"/>
      <c r="G26" s="19"/>
      <c r="H26" s="11" t="s">
        <v>2</v>
      </c>
      <c r="I26" s="19"/>
      <c r="J26" s="19"/>
      <c r="K26" s="19"/>
    </row>
    <row r="27" spans="1:11" x14ac:dyDescent="0.2">
      <c r="A27" s="22" t="s">
        <v>51</v>
      </c>
      <c r="B27" s="22"/>
      <c r="C27" s="27">
        <f>SUM(C10:C26)</f>
        <v>0</v>
      </c>
      <c r="D27" s="24" t="s">
        <v>2</v>
      </c>
      <c r="E27" s="27">
        <f>SUM(E10:E26)</f>
        <v>1200591</v>
      </c>
      <c r="F27" s="27">
        <f>SUM(F10:F26)</f>
        <v>933450</v>
      </c>
      <c r="G27" s="28">
        <v>1.2861865981038001</v>
      </c>
      <c r="H27" s="24" t="s">
        <v>2</v>
      </c>
      <c r="I27" s="27">
        <f>SUM(I10:I26)</f>
        <v>933450</v>
      </c>
      <c r="J27" s="28">
        <f>+E27/I27</f>
        <v>1.2861867266591676</v>
      </c>
      <c r="K27" s="27">
        <f>SUM(K10:K26)</f>
        <v>947664</v>
      </c>
    </row>
    <row r="28" spans="1:11" x14ac:dyDescent="0.2">
      <c r="A28" s="9"/>
      <c r="B28" s="9"/>
      <c r="C28" s="10"/>
      <c r="D28" s="11" t="s">
        <v>2</v>
      </c>
      <c r="E28" s="10"/>
      <c r="F28" s="10"/>
      <c r="G28" s="10"/>
      <c r="H28" s="11" t="s">
        <v>2</v>
      </c>
      <c r="I28" s="10"/>
      <c r="J28" s="10"/>
      <c r="K28" s="10"/>
    </row>
    <row r="29" spans="1:11" x14ac:dyDescent="0.2">
      <c r="A29" s="9"/>
      <c r="B29" s="9"/>
      <c r="C29" s="10"/>
      <c r="D29" s="11" t="s">
        <v>2</v>
      </c>
      <c r="E29" s="10"/>
      <c r="F29" s="10"/>
      <c r="G29" s="10"/>
      <c r="H29" s="11" t="s">
        <v>2</v>
      </c>
      <c r="I29" s="10"/>
      <c r="J29" s="10"/>
      <c r="K29" s="10"/>
    </row>
    <row r="30" spans="1:11" x14ac:dyDescent="0.2">
      <c r="A30" s="22" t="s">
        <v>64</v>
      </c>
      <c r="B30" s="22"/>
      <c r="C30" s="23"/>
      <c r="D30" s="24" t="s">
        <v>2</v>
      </c>
      <c r="E30" s="23"/>
      <c r="F30" s="23"/>
      <c r="G30" s="23"/>
      <c r="H30" s="24" t="s">
        <v>2</v>
      </c>
      <c r="I30" s="23"/>
      <c r="J30" s="23"/>
      <c r="K30" s="23"/>
    </row>
    <row r="31" spans="1:11" x14ac:dyDescent="0.2">
      <c r="A31" s="9"/>
      <c r="B31" s="9"/>
      <c r="C31" s="10"/>
      <c r="D31" s="11" t="s">
        <v>2</v>
      </c>
      <c r="E31" s="10"/>
      <c r="F31" s="10"/>
      <c r="G31" s="10"/>
      <c r="H31" s="11" t="s">
        <v>2</v>
      </c>
      <c r="I31" s="10"/>
      <c r="J31" s="10"/>
      <c r="K31" s="10"/>
    </row>
    <row r="32" spans="1:11" x14ac:dyDescent="0.2">
      <c r="A32" s="12" t="s">
        <v>89</v>
      </c>
      <c r="B32" s="12"/>
      <c r="C32" s="13"/>
      <c r="D32" s="1" t="s">
        <v>2</v>
      </c>
      <c r="E32" s="13"/>
      <c r="F32" s="13"/>
      <c r="G32" s="13"/>
      <c r="H32" s="1" t="s">
        <v>2</v>
      </c>
      <c r="I32" s="13"/>
      <c r="J32" s="13"/>
      <c r="K32" s="13"/>
    </row>
    <row r="33" spans="1:11" x14ac:dyDescent="0.2">
      <c r="A33" s="14" t="s">
        <v>90</v>
      </c>
      <c r="B33" s="9" t="s">
        <v>91</v>
      </c>
      <c r="C33" s="16">
        <v>0</v>
      </c>
      <c r="D33" s="11" t="s">
        <v>2</v>
      </c>
      <c r="E33" s="16">
        <v>440</v>
      </c>
      <c r="F33" s="16">
        <v>1200</v>
      </c>
      <c r="G33" s="25">
        <f>+E33/F33</f>
        <v>0.36666666666666664</v>
      </c>
      <c r="H33" s="11" t="s">
        <v>2</v>
      </c>
      <c r="I33" s="16">
        <v>1200</v>
      </c>
      <c r="J33" s="25">
        <f t="shared" ref="J33:J39" si="2">+E33/I33</f>
        <v>0.36666666666666664</v>
      </c>
      <c r="K33" s="16">
        <v>1685</v>
      </c>
    </row>
    <row r="34" spans="1:11" x14ac:dyDescent="0.2">
      <c r="A34" s="14" t="s">
        <v>92</v>
      </c>
      <c r="B34" s="9" t="s">
        <v>93</v>
      </c>
      <c r="C34" s="16">
        <v>321</v>
      </c>
      <c r="D34" s="11" t="s">
        <v>2</v>
      </c>
      <c r="E34" s="16">
        <f>321+1895</f>
        <v>2216</v>
      </c>
      <c r="F34" s="16">
        <v>2000</v>
      </c>
      <c r="G34" s="25">
        <f t="shared" ref="G34:G39" si="3">+E34/F34</f>
        <v>1.1080000000000001</v>
      </c>
      <c r="H34" s="11" t="s">
        <v>2</v>
      </c>
      <c r="I34" s="16">
        <v>2000</v>
      </c>
      <c r="J34" s="25">
        <f t="shared" si="2"/>
        <v>1.1080000000000001</v>
      </c>
      <c r="K34" s="16">
        <v>2150</v>
      </c>
    </row>
    <row r="35" spans="1:11" x14ac:dyDescent="0.2">
      <c r="A35" s="14" t="s">
        <v>94</v>
      </c>
      <c r="B35" s="9" t="s">
        <v>95</v>
      </c>
      <c r="C35" s="16">
        <v>0</v>
      </c>
      <c r="D35" s="11" t="s">
        <v>2</v>
      </c>
      <c r="E35" s="16">
        <v>0</v>
      </c>
      <c r="F35" s="16">
        <v>3600</v>
      </c>
      <c r="G35" s="25">
        <f t="shared" si="3"/>
        <v>0</v>
      </c>
      <c r="H35" s="11" t="s">
        <v>2</v>
      </c>
      <c r="I35" s="16">
        <v>3600</v>
      </c>
      <c r="J35" s="25">
        <f t="shared" si="2"/>
        <v>0</v>
      </c>
      <c r="K35" s="16">
        <v>0</v>
      </c>
    </row>
    <row r="36" spans="1:11" x14ac:dyDescent="0.2">
      <c r="A36" s="14" t="s">
        <v>96</v>
      </c>
      <c r="B36" s="9" t="s">
        <v>97</v>
      </c>
      <c r="C36" s="16">
        <v>689</v>
      </c>
      <c r="D36" s="11" t="s">
        <v>2</v>
      </c>
      <c r="E36" s="16">
        <f>689+160</f>
        <v>849</v>
      </c>
      <c r="F36" s="16">
        <v>1000</v>
      </c>
      <c r="G36" s="25">
        <f t="shared" si="3"/>
        <v>0.84899999999999998</v>
      </c>
      <c r="H36" s="11" t="s">
        <v>2</v>
      </c>
      <c r="I36" s="16">
        <v>1000</v>
      </c>
      <c r="J36" s="25">
        <f t="shared" si="2"/>
        <v>0.84899999999999998</v>
      </c>
      <c r="K36" s="16">
        <v>655</v>
      </c>
    </row>
    <row r="37" spans="1:11" x14ac:dyDescent="0.2">
      <c r="A37" s="14" t="s">
        <v>98</v>
      </c>
      <c r="B37" s="9" t="s">
        <v>99</v>
      </c>
      <c r="C37" s="16">
        <v>0</v>
      </c>
      <c r="D37" s="11" t="s">
        <v>2</v>
      </c>
      <c r="E37" s="16">
        <v>0</v>
      </c>
      <c r="F37" s="16">
        <v>200</v>
      </c>
      <c r="G37" s="25">
        <f t="shared" si="3"/>
        <v>0</v>
      </c>
      <c r="H37" s="11" t="s">
        <v>2</v>
      </c>
      <c r="I37" s="16">
        <v>200</v>
      </c>
      <c r="J37" s="25">
        <f t="shared" si="2"/>
        <v>0</v>
      </c>
      <c r="K37" s="16">
        <v>21</v>
      </c>
    </row>
    <row r="38" spans="1:11" x14ac:dyDescent="0.2">
      <c r="A38" s="14" t="s">
        <v>100</v>
      </c>
      <c r="B38" s="9" t="s">
        <v>101</v>
      </c>
      <c r="C38" s="16">
        <v>0</v>
      </c>
      <c r="D38" s="11" t="s">
        <v>2</v>
      </c>
      <c r="E38" s="16">
        <v>14</v>
      </c>
      <c r="F38" s="16">
        <v>120</v>
      </c>
      <c r="G38" s="25">
        <f t="shared" si="3"/>
        <v>0.11666666666666667</v>
      </c>
      <c r="H38" s="11" t="s">
        <v>2</v>
      </c>
      <c r="I38" s="16">
        <v>120</v>
      </c>
      <c r="J38" s="25">
        <f t="shared" si="2"/>
        <v>0.11666666666666667</v>
      </c>
      <c r="K38" s="16">
        <v>40</v>
      </c>
    </row>
    <row r="39" spans="1:11" x14ac:dyDescent="0.2">
      <c r="A39" s="14" t="s">
        <v>102</v>
      </c>
      <c r="B39" s="9" t="s">
        <v>103</v>
      </c>
      <c r="C39" s="16">
        <v>631</v>
      </c>
      <c r="D39" s="11" t="s">
        <v>2</v>
      </c>
      <c r="E39" s="16">
        <f>631+2594</f>
        <v>3225</v>
      </c>
      <c r="F39" s="16">
        <v>4000</v>
      </c>
      <c r="G39" s="25">
        <f t="shared" si="3"/>
        <v>0.80625000000000002</v>
      </c>
      <c r="H39" s="11" t="s">
        <v>2</v>
      </c>
      <c r="I39" s="16">
        <v>4000</v>
      </c>
      <c r="J39" s="25">
        <f t="shared" si="2"/>
        <v>0.80625000000000002</v>
      </c>
      <c r="K39" s="16">
        <v>758</v>
      </c>
    </row>
    <row r="40" spans="1:11" x14ac:dyDescent="0.2">
      <c r="A40" s="14"/>
      <c r="B40" s="9"/>
      <c r="C40" s="10"/>
      <c r="D40" s="11" t="s">
        <v>2</v>
      </c>
      <c r="E40" s="10"/>
      <c r="F40" s="10"/>
      <c r="G40" s="10"/>
      <c r="H40" s="11" t="s">
        <v>2</v>
      </c>
      <c r="I40" s="10"/>
      <c r="J40" s="10"/>
      <c r="K40" s="10"/>
    </row>
    <row r="41" spans="1:11" x14ac:dyDescent="0.2">
      <c r="A41" s="12" t="s">
        <v>83</v>
      </c>
      <c r="B41" s="12"/>
      <c r="C41" s="13"/>
      <c r="D41" s="1" t="s">
        <v>2</v>
      </c>
      <c r="E41" s="13"/>
      <c r="F41" s="13"/>
      <c r="G41" s="13"/>
      <c r="H41" s="1" t="s">
        <v>2</v>
      </c>
      <c r="I41" s="13"/>
      <c r="J41" s="13"/>
      <c r="K41" s="13"/>
    </row>
    <row r="42" spans="1:11" x14ac:dyDescent="0.2">
      <c r="A42" s="14" t="s">
        <v>102</v>
      </c>
      <c r="B42" s="9" t="s">
        <v>104</v>
      </c>
      <c r="C42" s="16">
        <v>0</v>
      </c>
      <c r="D42" s="11" t="s">
        <v>2</v>
      </c>
      <c r="E42" s="16">
        <v>8033</v>
      </c>
      <c r="F42" s="16">
        <v>0</v>
      </c>
      <c r="G42" s="25">
        <v>0</v>
      </c>
      <c r="H42" s="11" t="s">
        <v>2</v>
      </c>
      <c r="I42" s="16">
        <v>0</v>
      </c>
      <c r="J42" s="25">
        <v>0</v>
      </c>
      <c r="K42" s="16">
        <v>0</v>
      </c>
    </row>
    <row r="43" spans="1:11" x14ac:dyDescent="0.2">
      <c r="A43" s="14"/>
      <c r="B43" s="9"/>
      <c r="C43" s="10"/>
      <c r="D43" s="11" t="s">
        <v>2</v>
      </c>
      <c r="E43" s="10"/>
      <c r="F43" s="10"/>
      <c r="G43" s="10"/>
      <c r="H43" s="11" t="s">
        <v>2</v>
      </c>
      <c r="I43" s="10"/>
      <c r="J43" s="10"/>
      <c r="K43" s="10"/>
    </row>
    <row r="44" spans="1:11" x14ac:dyDescent="0.2">
      <c r="A44" s="12" t="s">
        <v>86</v>
      </c>
      <c r="B44" s="12"/>
      <c r="C44" s="13"/>
      <c r="D44" s="1" t="s">
        <v>2</v>
      </c>
      <c r="E44" s="13"/>
      <c r="F44" s="13"/>
      <c r="G44" s="13"/>
      <c r="H44" s="1" t="s">
        <v>2</v>
      </c>
      <c r="I44" s="13"/>
      <c r="J44" s="13"/>
      <c r="K44" s="13"/>
    </row>
    <row r="45" spans="1:11" x14ac:dyDescent="0.2">
      <c r="A45" s="14" t="s">
        <v>105</v>
      </c>
      <c r="B45" s="9" t="s">
        <v>106</v>
      </c>
      <c r="C45" s="16">
        <v>0</v>
      </c>
      <c r="D45" s="11" t="s">
        <v>2</v>
      </c>
      <c r="E45" s="16">
        <v>0</v>
      </c>
      <c r="F45" s="16">
        <v>10225</v>
      </c>
      <c r="G45" s="25">
        <f t="shared" ref="G45:G47" si="4">+E45/F45</f>
        <v>0</v>
      </c>
      <c r="H45" s="11" t="s">
        <v>2</v>
      </c>
      <c r="I45" s="16">
        <v>10225</v>
      </c>
      <c r="J45" s="25">
        <v>0</v>
      </c>
      <c r="K45" s="16">
        <v>0</v>
      </c>
    </row>
    <row r="46" spans="1:11" x14ac:dyDescent="0.2">
      <c r="A46" s="14" t="s">
        <v>107</v>
      </c>
      <c r="B46" s="9" t="s">
        <v>108</v>
      </c>
      <c r="C46" s="16">
        <v>0</v>
      </c>
      <c r="D46" s="11" t="s">
        <v>2</v>
      </c>
      <c r="E46" s="16">
        <v>0</v>
      </c>
      <c r="F46" s="16">
        <v>0</v>
      </c>
      <c r="G46" s="25">
        <v>0</v>
      </c>
      <c r="H46" s="11" t="s">
        <v>2</v>
      </c>
      <c r="I46" s="16">
        <v>0</v>
      </c>
      <c r="J46" s="25">
        <v>0</v>
      </c>
      <c r="K46" s="16">
        <v>1500</v>
      </c>
    </row>
    <row r="47" spans="1:11" x14ac:dyDescent="0.2">
      <c r="A47" s="14" t="s">
        <v>102</v>
      </c>
      <c r="B47" s="9" t="s">
        <v>109</v>
      </c>
      <c r="C47" s="16">
        <v>0</v>
      </c>
      <c r="D47" s="11" t="s">
        <v>2</v>
      </c>
      <c r="E47" s="16">
        <v>0</v>
      </c>
      <c r="F47" s="16">
        <v>1400</v>
      </c>
      <c r="G47" s="25">
        <f t="shared" si="4"/>
        <v>0</v>
      </c>
      <c r="H47" s="11" t="s">
        <v>2</v>
      </c>
      <c r="I47" s="16">
        <v>1400</v>
      </c>
      <c r="J47" s="25">
        <v>0</v>
      </c>
      <c r="K47" s="16">
        <v>0</v>
      </c>
    </row>
    <row r="48" spans="1:11" x14ac:dyDescent="0.2">
      <c r="A48" s="34"/>
      <c r="B48" s="9"/>
      <c r="C48" s="10"/>
      <c r="D48" s="11" t="s">
        <v>2</v>
      </c>
      <c r="E48" s="10"/>
      <c r="F48" s="10"/>
      <c r="G48" s="10"/>
      <c r="H48" s="11" t="s">
        <v>2</v>
      </c>
      <c r="I48" s="10"/>
      <c r="J48" s="10"/>
      <c r="K48" s="10"/>
    </row>
    <row r="49" spans="1:11" x14ac:dyDescent="0.2">
      <c r="A49" s="9"/>
      <c r="B49" s="9"/>
      <c r="C49" s="19"/>
      <c r="D49" s="11" t="s">
        <v>2</v>
      </c>
      <c r="E49" s="19"/>
      <c r="F49" s="19"/>
      <c r="G49" s="19"/>
      <c r="H49" s="11" t="s">
        <v>2</v>
      </c>
      <c r="I49" s="19"/>
      <c r="J49" s="19"/>
      <c r="K49" s="19"/>
    </row>
    <row r="50" spans="1:11" x14ac:dyDescent="0.2">
      <c r="A50" s="22" t="s">
        <v>59</v>
      </c>
      <c r="B50" s="22"/>
      <c r="C50" s="27">
        <f>SUM(C32:C49)</f>
        <v>1641</v>
      </c>
      <c r="D50" s="24" t="s">
        <v>2</v>
      </c>
      <c r="E50" s="27">
        <f>SUM(E32:E49)</f>
        <v>14777</v>
      </c>
      <c r="F50" s="27">
        <f>SUM(F32:F49)</f>
        <v>23745</v>
      </c>
      <c r="G50" s="28">
        <f>+E50/F50</f>
        <v>0.62232048852389976</v>
      </c>
      <c r="H50" s="24" t="s">
        <v>2</v>
      </c>
      <c r="I50" s="27">
        <f>SUM(I32:I49)</f>
        <v>23745</v>
      </c>
      <c r="J50" s="28">
        <f>+E50/I50</f>
        <v>0.62232048852389976</v>
      </c>
      <c r="K50" s="27">
        <f>SUM(K32:K49)</f>
        <v>6809</v>
      </c>
    </row>
    <row r="51" spans="1:11" x14ac:dyDescent="0.2">
      <c r="A51" s="9"/>
      <c r="B51" s="9"/>
      <c r="C51" s="16"/>
      <c r="D51" s="11" t="s">
        <v>2</v>
      </c>
      <c r="E51" s="10"/>
      <c r="F51" s="10"/>
      <c r="G51" s="10"/>
      <c r="H51" s="11" t="s">
        <v>2</v>
      </c>
      <c r="I51" s="10"/>
      <c r="J51" s="10"/>
      <c r="K51" s="10"/>
    </row>
    <row r="52" spans="1:11" x14ac:dyDescent="0.2">
      <c r="A52" s="9"/>
      <c r="B52" s="9"/>
      <c r="C52" s="19"/>
      <c r="D52" s="11" t="s">
        <v>2</v>
      </c>
      <c r="E52" s="19"/>
      <c r="F52" s="19"/>
      <c r="G52" s="19"/>
      <c r="H52" s="11" t="s">
        <v>2</v>
      </c>
      <c r="I52" s="19"/>
      <c r="J52" s="19"/>
      <c r="K52" s="19"/>
    </row>
    <row r="53" spans="1:11" x14ac:dyDescent="0.2">
      <c r="A53" s="30" t="s">
        <v>110</v>
      </c>
      <c r="B53" s="30"/>
      <c r="C53" s="31">
        <f>+C27-C50</f>
        <v>-1641</v>
      </c>
      <c r="D53" s="32" t="s">
        <v>2</v>
      </c>
      <c r="E53" s="31">
        <f t="shared" ref="E53:F53" si="5">+E27-E50</f>
        <v>1185814</v>
      </c>
      <c r="F53" s="31">
        <f t="shared" si="5"/>
        <v>909705</v>
      </c>
      <c r="G53" s="33">
        <f>+E53/F53</f>
        <v>1.3035148757014636</v>
      </c>
      <c r="H53" s="32" t="s">
        <v>2</v>
      </c>
      <c r="I53" s="31">
        <f t="shared" ref="I53:K53" si="6">+I27-I50</f>
        <v>909705</v>
      </c>
      <c r="J53" s="33">
        <f>+E53/I53</f>
        <v>1.3035148757014636</v>
      </c>
      <c r="K53" s="31">
        <f t="shared" si="6"/>
        <v>940855</v>
      </c>
    </row>
    <row r="54" spans="1:11" x14ac:dyDescent="0.2">
      <c r="A54" s="9"/>
      <c r="B54" s="9"/>
      <c r="C54" s="29"/>
      <c r="D54" s="11" t="s">
        <v>2</v>
      </c>
      <c r="E54" s="29"/>
      <c r="F54" s="29"/>
      <c r="G54" s="29"/>
      <c r="H54" s="11" t="s">
        <v>2</v>
      </c>
      <c r="I54" s="29"/>
      <c r="J54" s="29"/>
      <c r="K54" s="29"/>
    </row>
    <row r="55" spans="1:11" x14ac:dyDescent="0.2">
      <c r="A55" s="9"/>
      <c r="B55" s="9"/>
      <c r="C55" s="10"/>
      <c r="D55" s="11" t="s">
        <v>2</v>
      </c>
      <c r="E55" s="10"/>
      <c r="F55" s="10"/>
      <c r="G55" s="10"/>
      <c r="H55" s="11" t="s">
        <v>2</v>
      </c>
      <c r="I55" s="10"/>
      <c r="J55" s="10"/>
      <c r="K55" s="10"/>
    </row>
  </sheetData>
  <mergeCells count="6">
    <mergeCell ref="E5:G5"/>
    <mergeCell ref="I5:K5"/>
    <mergeCell ref="A1:K1"/>
    <mergeCell ref="A2:K2"/>
    <mergeCell ref="A3:K3"/>
    <mergeCell ref="A4:K4"/>
  </mergeCells>
  <printOptions horizontalCentered="1"/>
  <pageMargins left="0.75" right="0.75" top="0.75" bottom="0.75" header="0.03" footer="0.03"/>
  <pageSetup scale="63" pageOrder="overThenDown" orientation="portrait" r:id="rId1"/>
  <headerFooter>
    <oddHeader>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7"/>
  <sheetViews>
    <sheetView workbookViewId="0">
      <pane ySplit="7" topLeftCell="A38" activePane="bottomLeft" state="frozen"/>
      <selection pane="bottomLeft" activeCell="A12" sqref="A12"/>
    </sheetView>
  </sheetViews>
  <sheetFormatPr defaultRowHeight="12.75" x14ac:dyDescent="0.2"/>
  <cols>
    <col min="1" max="1" width="39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ht="15.75" x14ac:dyDescent="0.25">
      <c r="A1" s="85" t="s">
        <v>502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 x14ac:dyDescent="0.25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 x14ac:dyDescent="0.25">
      <c r="A3" s="85" t="s">
        <v>505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 x14ac:dyDescent="0.25">
      <c r="A4" s="85" t="s">
        <v>480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x14ac:dyDescent="0.2">
      <c r="C5" s="76">
        <v>43435</v>
      </c>
      <c r="E5" s="86" t="s">
        <v>37</v>
      </c>
      <c r="F5" s="86"/>
      <c r="G5" s="86"/>
      <c r="I5" s="86" t="s">
        <v>40</v>
      </c>
      <c r="J5" s="86"/>
      <c r="K5" s="86"/>
    </row>
    <row r="6" spans="1:11" x14ac:dyDescent="0.2">
      <c r="G6" s="1" t="s">
        <v>36</v>
      </c>
      <c r="J6" s="1" t="s">
        <v>36</v>
      </c>
      <c r="K6" s="1" t="s">
        <v>41</v>
      </c>
    </row>
    <row r="7" spans="1:11" x14ac:dyDescent="0.2">
      <c r="C7" s="2" t="s">
        <v>36</v>
      </c>
      <c r="E7" s="2" t="s">
        <v>36</v>
      </c>
      <c r="F7" s="2" t="s">
        <v>38</v>
      </c>
      <c r="G7" s="2" t="s">
        <v>39</v>
      </c>
      <c r="I7" s="2" t="s">
        <v>38</v>
      </c>
      <c r="J7" s="2" t="s">
        <v>39</v>
      </c>
      <c r="K7" s="2" t="s">
        <v>36</v>
      </c>
    </row>
    <row r="8" spans="1:11" x14ac:dyDescent="0.2">
      <c r="A8" s="9"/>
      <c r="B8" s="9"/>
      <c r="C8" s="10"/>
      <c r="D8" s="11" t="s">
        <v>2</v>
      </c>
      <c r="E8" s="10"/>
      <c r="F8" s="10"/>
      <c r="G8" s="10"/>
      <c r="H8" s="11" t="s">
        <v>2</v>
      </c>
      <c r="I8" s="10"/>
      <c r="J8" s="10"/>
      <c r="K8" s="10"/>
    </row>
    <row r="9" spans="1:11" x14ac:dyDescent="0.2">
      <c r="A9" s="9"/>
      <c r="B9" s="9"/>
      <c r="C9" s="10"/>
      <c r="D9" s="11" t="s">
        <v>2</v>
      </c>
      <c r="E9" s="10"/>
      <c r="F9" s="10"/>
      <c r="G9" s="10"/>
      <c r="H9" s="11" t="s">
        <v>2</v>
      </c>
      <c r="I9" s="10"/>
      <c r="J9" s="10"/>
      <c r="K9" s="10"/>
    </row>
    <row r="10" spans="1:11" x14ac:dyDescent="0.2">
      <c r="A10" s="22" t="s">
        <v>62</v>
      </c>
      <c r="B10" s="22"/>
      <c r="C10" s="23"/>
      <c r="D10" s="24" t="s">
        <v>2</v>
      </c>
      <c r="E10" s="23"/>
      <c r="F10" s="23"/>
      <c r="G10" s="23"/>
      <c r="H10" s="24" t="s">
        <v>2</v>
      </c>
      <c r="I10" s="23"/>
      <c r="J10" s="23"/>
      <c r="K10" s="23"/>
    </row>
    <row r="11" spans="1:11" x14ac:dyDescent="0.2">
      <c r="A11" s="9"/>
      <c r="B11" s="9"/>
      <c r="C11" s="10"/>
      <c r="D11" s="11" t="s">
        <v>2</v>
      </c>
      <c r="E11" s="10"/>
      <c r="F11" s="10"/>
      <c r="G11" s="10"/>
      <c r="H11" s="11" t="s">
        <v>2</v>
      </c>
      <c r="I11" s="10"/>
      <c r="J11" s="10"/>
      <c r="K11" s="10"/>
    </row>
    <row r="12" spans="1:11" x14ac:dyDescent="0.2">
      <c r="A12" s="9"/>
      <c r="B12" s="9"/>
      <c r="C12" s="10"/>
      <c r="D12" s="11" t="s">
        <v>2</v>
      </c>
      <c r="E12" s="10"/>
      <c r="F12" s="10"/>
      <c r="G12" s="10"/>
      <c r="H12" s="11" t="s">
        <v>2</v>
      </c>
      <c r="I12" s="10"/>
      <c r="J12" s="10"/>
      <c r="K12" s="10"/>
    </row>
    <row r="13" spans="1:11" x14ac:dyDescent="0.2">
      <c r="A13" s="12" t="s">
        <v>111</v>
      </c>
      <c r="B13" s="12"/>
      <c r="C13" s="13"/>
      <c r="D13" s="1" t="s">
        <v>2</v>
      </c>
      <c r="E13" s="13"/>
      <c r="F13" s="13"/>
      <c r="G13" s="13"/>
      <c r="H13" s="1" t="s">
        <v>2</v>
      </c>
      <c r="I13" s="13"/>
      <c r="J13" s="13"/>
      <c r="K13" s="13"/>
    </row>
    <row r="14" spans="1:11" x14ac:dyDescent="0.2">
      <c r="A14" s="14" t="s">
        <v>112</v>
      </c>
      <c r="B14" s="9" t="s">
        <v>113</v>
      </c>
      <c r="C14" s="15">
        <v>0</v>
      </c>
      <c r="D14" s="11" t="s">
        <v>2</v>
      </c>
      <c r="E14" s="15">
        <v>0</v>
      </c>
      <c r="F14" s="15">
        <v>8000</v>
      </c>
      <c r="G14" s="25">
        <v>0</v>
      </c>
      <c r="H14" s="11" t="s">
        <v>2</v>
      </c>
      <c r="I14" s="15">
        <v>8000</v>
      </c>
      <c r="J14" s="25">
        <v>0</v>
      </c>
      <c r="K14" s="15">
        <v>0</v>
      </c>
    </row>
    <row r="15" spans="1:11" x14ac:dyDescent="0.2">
      <c r="A15" s="14" t="s">
        <v>114</v>
      </c>
      <c r="B15" s="9" t="s">
        <v>115</v>
      </c>
      <c r="C15" s="16">
        <v>0</v>
      </c>
      <c r="D15" s="11" t="s">
        <v>2</v>
      </c>
      <c r="E15" s="16">
        <v>10400</v>
      </c>
      <c r="F15" s="16">
        <v>12000</v>
      </c>
      <c r="G15" s="25">
        <f>+E15/F15</f>
        <v>0.8666666666666667</v>
      </c>
      <c r="H15" s="11" t="s">
        <v>2</v>
      </c>
      <c r="I15" s="16">
        <v>12000</v>
      </c>
      <c r="J15" s="25">
        <f>+E15/I15</f>
        <v>0.8666666666666667</v>
      </c>
      <c r="K15" s="16">
        <v>8555</v>
      </c>
    </row>
    <row r="16" spans="1:11" x14ac:dyDescent="0.2">
      <c r="A16" s="14" t="s">
        <v>116</v>
      </c>
      <c r="B16" s="9" t="s">
        <v>117</v>
      </c>
      <c r="C16" s="16">
        <v>0</v>
      </c>
      <c r="D16" s="11" t="s">
        <v>2</v>
      </c>
      <c r="E16" s="16">
        <v>5470</v>
      </c>
      <c r="F16" s="16">
        <v>0</v>
      </c>
      <c r="G16" s="25">
        <v>0</v>
      </c>
      <c r="H16" s="11" t="s">
        <v>2</v>
      </c>
      <c r="I16" s="16">
        <v>0</v>
      </c>
      <c r="J16" s="25">
        <v>0</v>
      </c>
      <c r="K16" s="16">
        <v>3100</v>
      </c>
    </row>
    <row r="17" spans="1:11" x14ac:dyDescent="0.2">
      <c r="A17" s="14"/>
      <c r="B17" s="9"/>
      <c r="C17" s="19"/>
      <c r="D17" s="11" t="s">
        <v>2</v>
      </c>
      <c r="E17" s="19"/>
      <c r="F17" s="19"/>
      <c r="G17" s="19"/>
      <c r="H17" s="11" t="s">
        <v>2</v>
      </c>
      <c r="I17" s="19"/>
      <c r="J17" s="19"/>
      <c r="K17" s="19"/>
    </row>
    <row r="18" spans="1:11" x14ac:dyDescent="0.2">
      <c r="A18" s="12" t="s">
        <v>118</v>
      </c>
      <c r="B18" s="12"/>
      <c r="C18" s="18">
        <f>SUM(C14:C17)</f>
        <v>0</v>
      </c>
      <c r="D18" s="1" t="s">
        <v>2</v>
      </c>
      <c r="E18" s="18">
        <f>SUM(E14:E17)</f>
        <v>15870</v>
      </c>
      <c r="F18" s="18">
        <f>SUM(F14:F17)</f>
        <v>20000</v>
      </c>
      <c r="G18" s="35">
        <v>0.79349199999999998</v>
      </c>
      <c r="H18" s="1" t="s">
        <v>2</v>
      </c>
      <c r="I18" s="18">
        <f>SUM(I14:I17)</f>
        <v>20000</v>
      </c>
      <c r="J18" s="35">
        <v>0.79349199999999998</v>
      </c>
      <c r="K18" s="18">
        <f>SUM(K14:K17)</f>
        <v>11655</v>
      </c>
    </row>
    <row r="19" spans="1:11" x14ac:dyDescent="0.2">
      <c r="A19" s="9"/>
      <c r="B19" s="9"/>
      <c r="C19" s="10"/>
      <c r="D19" s="11" t="s">
        <v>2</v>
      </c>
      <c r="E19" s="10"/>
      <c r="F19" s="10"/>
      <c r="G19" s="10"/>
      <c r="H19" s="11" t="s">
        <v>2</v>
      </c>
      <c r="I19" s="10"/>
      <c r="J19" s="10"/>
      <c r="K19" s="10"/>
    </row>
    <row r="20" spans="1:11" x14ac:dyDescent="0.2">
      <c r="A20" s="9"/>
      <c r="B20" s="9"/>
      <c r="C20" s="10"/>
      <c r="D20" s="11" t="s">
        <v>2</v>
      </c>
      <c r="E20" s="10"/>
      <c r="F20" s="10"/>
      <c r="G20" s="10"/>
      <c r="H20" s="11" t="s">
        <v>2</v>
      </c>
      <c r="I20" s="10"/>
      <c r="J20" s="10"/>
      <c r="K20" s="10"/>
    </row>
    <row r="21" spans="1:11" x14ac:dyDescent="0.2">
      <c r="A21" s="12" t="s">
        <v>119</v>
      </c>
      <c r="B21" s="12"/>
      <c r="C21" s="13"/>
      <c r="D21" s="1" t="s">
        <v>2</v>
      </c>
      <c r="E21" s="13"/>
      <c r="F21" s="13"/>
      <c r="G21" s="13"/>
      <c r="H21" s="1" t="s">
        <v>2</v>
      </c>
      <c r="I21" s="13"/>
      <c r="J21" s="13"/>
      <c r="K21" s="13"/>
    </row>
    <row r="22" spans="1:11" x14ac:dyDescent="0.2">
      <c r="A22" s="14" t="s">
        <v>112</v>
      </c>
      <c r="B22" s="9" t="s">
        <v>120</v>
      </c>
      <c r="C22" s="16">
        <v>0</v>
      </c>
      <c r="D22" s="11" t="s">
        <v>2</v>
      </c>
      <c r="E22" s="16">
        <v>0</v>
      </c>
      <c r="F22" s="16">
        <v>25000</v>
      </c>
      <c r="G22" s="25">
        <v>0</v>
      </c>
      <c r="H22" s="11" t="s">
        <v>2</v>
      </c>
      <c r="I22" s="16">
        <v>25000</v>
      </c>
      <c r="J22" s="25">
        <v>0</v>
      </c>
      <c r="K22" s="16">
        <v>0</v>
      </c>
    </row>
    <row r="23" spans="1:11" x14ac:dyDescent="0.2">
      <c r="A23" s="14" t="s">
        <v>114</v>
      </c>
      <c r="B23" s="9" t="s">
        <v>121</v>
      </c>
      <c r="C23" s="16">
        <v>0</v>
      </c>
      <c r="D23" s="11" t="s">
        <v>2</v>
      </c>
      <c r="E23" s="16">
        <v>67169</v>
      </c>
      <c r="F23" s="16">
        <v>67350</v>
      </c>
      <c r="G23" s="25">
        <f>+E23/F23</f>
        <v>0.99731254639940614</v>
      </c>
      <c r="H23" s="11" t="s">
        <v>2</v>
      </c>
      <c r="I23" s="16">
        <v>67350</v>
      </c>
      <c r="J23" s="25">
        <f t="shared" ref="J23:J24" si="0">+E23/I23</f>
        <v>0.99731254639940614</v>
      </c>
      <c r="K23" s="16">
        <v>52285</v>
      </c>
    </row>
    <row r="24" spans="1:11" x14ac:dyDescent="0.2">
      <c r="A24" s="14" t="s">
        <v>116</v>
      </c>
      <c r="B24" s="9" t="s">
        <v>122</v>
      </c>
      <c r="C24" s="16">
        <v>0</v>
      </c>
      <c r="D24" s="11" t="s">
        <v>2</v>
      </c>
      <c r="E24" s="16">
        <v>15000</v>
      </c>
      <c r="F24" s="16">
        <v>5000</v>
      </c>
      <c r="G24" s="25">
        <f>+E24/F24</f>
        <v>3</v>
      </c>
      <c r="H24" s="11" t="s">
        <v>2</v>
      </c>
      <c r="I24" s="16">
        <v>5000</v>
      </c>
      <c r="J24" s="25">
        <f t="shared" si="0"/>
        <v>3</v>
      </c>
      <c r="K24" s="16">
        <v>5000</v>
      </c>
    </row>
    <row r="25" spans="1:11" x14ac:dyDescent="0.2">
      <c r="A25" s="9"/>
      <c r="B25" s="9"/>
      <c r="C25" s="19"/>
      <c r="D25" s="11" t="s">
        <v>2</v>
      </c>
      <c r="E25" s="19"/>
      <c r="F25" s="19"/>
      <c r="G25" s="19"/>
      <c r="H25" s="11" t="s">
        <v>2</v>
      </c>
      <c r="I25" s="19"/>
      <c r="J25" s="19"/>
      <c r="K25" s="19"/>
    </row>
    <row r="26" spans="1:11" x14ac:dyDescent="0.2">
      <c r="A26" s="12" t="s">
        <v>123</v>
      </c>
      <c r="B26" s="12"/>
      <c r="C26" s="18">
        <f>SUM(C22:C25)</f>
        <v>0</v>
      </c>
      <c r="D26" s="1" t="s">
        <v>2</v>
      </c>
      <c r="E26" s="18">
        <f>SUM(E22:E25)</f>
        <v>82169</v>
      </c>
      <c r="F26" s="18">
        <f>SUM(F22:F25)</f>
        <v>97350</v>
      </c>
      <c r="G26" s="35">
        <f>+E26/F26</f>
        <v>0.8440575243965075</v>
      </c>
      <c r="H26" s="1" t="s">
        <v>2</v>
      </c>
      <c r="I26" s="18">
        <f>SUM(I22:I25)</f>
        <v>97350</v>
      </c>
      <c r="J26" s="35">
        <v>0.84405454545449998</v>
      </c>
      <c r="K26" s="18">
        <f>SUM(K22:K25)</f>
        <v>57285</v>
      </c>
    </row>
    <row r="27" spans="1:11" x14ac:dyDescent="0.2">
      <c r="A27" s="9"/>
      <c r="B27" s="9"/>
      <c r="C27" s="10"/>
      <c r="D27" s="11" t="s">
        <v>2</v>
      </c>
      <c r="E27" s="10"/>
      <c r="F27" s="10"/>
      <c r="G27" s="10"/>
      <c r="H27" s="11" t="s">
        <v>2</v>
      </c>
      <c r="I27" s="10"/>
      <c r="J27" s="10"/>
      <c r="K27" s="10"/>
    </row>
    <row r="28" spans="1:11" x14ac:dyDescent="0.2">
      <c r="A28" s="9"/>
      <c r="B28" s="9"/>
      <c r="C28" s="10"/>
      <c r="D28" s="11" t="s">
        <v>2</v>
      </c>
      <c r="E28" s="10"/>
      <c r="F28" s="10"/>
      <c r="G28" s="10"/>
      <c r="H28" s="11" t="s">
        <v>2</v>
      </c>
      <c r="I28" s="10"/>
      <c r="J28" s="10"/>
      <c r="K28" s="10"/>
    </row>
    <row r="29" spans="1:11" x14ac:dyDescent="0.2">
      <c r="A29" s="12" t="s">
        <v>124</v>
      </c>
      <c r="B29" s="12"/>
      <c r="C29" s="13"/>
      <c r="D29" s="1" t="s">
        <v>2</v>
      </c>
      <c r="E29" s="13"/>
      <c r="F29" s="13"/>
      <c r="G29" s="13"/>
      <c r="H29" s="1" t="s">
        <v>2</v>
      </c>
      <c r="I29" s="13"/>
      <c r="J29" s="13"/>
      <c r="K29" s="13"/>
    </row>
    <row r="30" spans="1:11" x14ac:dyDescent="0.2">
      <c r="A30" s="14" t="s">
        <v>125</v>
      </c>
      <c r="B30" s="9" t="s">
        <v>126</v>
      </c>
      <c r="C30" s="16">
        <v>0</v>
      </c>
      <c r="D30" s="11" t="s">
        <v>2</v>
      </c>
      <c r="E30" s="16">
        <v>0</v>
      </c>
      <c r="F30" s="16">
        <v>0</v>
      </c>
      <c r="G30" s="25">
        <v>0</v>
      </c>
      <c r="H30" s="11" t="s">
        <v>2</v>
      </c>
      <c r="I30" s="16">
        <v>0</v>
      </c>
      <c r="J30" s="25">
        <v>0</v>
      </c>
      <c r="K30" s="16">
        <v>8375</v>
      </c>
    </row>
    <row r="31" spans="1:11" x14ac:dyDescent="0.2">
      <c r="A31" s="14" t="s">
        <v>112</v>
      </c>
      <c r="B31" s="9" t="s">
        <v>127</v>
      </c>
      <c r="C31" s="16">
        <v>0</v>
      </c>
      <c r="D31" s="11" t="s">
        <v>2</v>
      </c>
      <c r="E31" s="16">
        <v>181406</v>
      </c>
      <c r="F31" s="16">
        <v>170000</v>
      </c>
      <c r="G31" s="25">
        <f>+E31/F31</f>
        <v>1.0670941176470587</v>
      </c>
      <c r="H31" s="11" t="s">
        <v>2</v>
      </c>
      <c r="I31" s="16">
        <v>170000</v>
      </c>
      <c r="J31" s="25">
        <f t="shared" ref="J31:J33" si="1">+E31/I31</f>
        <v>1.0670941176470587</v>
      </c>
      <c r="K31" s="16">
        <v>183799</v>
      </c>
    </row>
    <row r="32" spans="1:11" x14ac:dyDescent="0.2">
      <c r="A32" s="14" t="s">
        <v>114</v>
      </c>
      <c r="B32" s="9" t="s">
        <v>128</v>
      </c>
      <c r="C32" s="16">
        <v>0</v>
      </c>
      <c r="D32" s="11" t="s">
        <v>2</v>
      </c>
      <c r="E32" s="16">
        <v>106598</v>
      </c>
      <c r="F32" s="16">
        <v>125000</v>
      </c>
      <c r="G32" s="25">
        <f t="shared" ref="G32:G33" si="2">+E32/F32</f>
        <v>0.85278399999999999</v>
      </c>
      <c r="H32" s="11" t="s">
        <v>2</v>
      </c>
      <c r="I32" s="16">
        <v>125000</v>
      </c>
      <c r="J32" s="25">
        <f t="shared" si="1"/>
        <v>0.85278399999999999</v>
      </c>
      <c r="K32" s="16">
        <v>134237</v>
      </c>
    </row>
    <row r="33" spans="1:11" x14ac:dyDescent="0.2">
      <c r="A33" s="14" t="s">
        <v>116</v>
      </c>
      <c r="B33" s="9" t="s">
        <v>129</v>
      </c>
      <c r="C33" s="16">
        <v>0</v>
      </c>
      <c r="D33" s="11" t="s">
        <v>2</v>
      </c>
      <c r="E33" s="16">
        <v>20735</v>
      </c>
      <c r="F33" s="16">
        <v>13000</v>
      </c>
      <c r="G33" s="25">
        <f t="shared" si="2"/>
        <v>1.595</v>
      </c>
      <c r="H33" s="11" t="s">
        <v>2</v>
      </c>
      <c r="I33" s="16">
        <v>13000</v>
      </c>
      <c r="J33" s="25">
        <f t="shared" si="1"/>
        <v>1.595</v>
      </c>
      <c r="K33" s="16">
        <v>18000</v>
      </c>
    </row>
    <row r="34" spans="1:11" x14ac:dyDescent="0.2">
      <c r="A34" s="9"/>
      <c r="B34" s="9"/>
      <c r="C34" s="19"/>
      <c r="D34" s="11" t="s">
        <v>2</v>
      </c>
      <c r="E34" s="19"/>
      <c r="F34" s="19"/>
      <c r="G34" s="19"/>
      <c r="H34" s="11" t="s">
        <v>2</v>
      </c>
      <c r="I34" s="19"/>
      <c r="J34" s="19"/>
      <c r="K34" s="19"/>
    </row>
    <row r="35" spans="1:11" x14ac:dyDescent="0.2">
      <c r="A35" s="12" t="s">
        <v>130</v>
      </c>
      <c r="B35" s="12"/>
      <c r="C35" s="18">
        <f>SUM(C30:C34)</f>
        <v>0</v>
      </c>
      <c r="D35" s="1" t="s">
        <v>2</v>
      </c>
      <c r="E35" s="18">
        <f>SUM(E30:E34)</f>
        <v>308739</v>
      </c>
      <c r="F35" s="18">
        <f>SUM(F30:F34)</f>
        <v>308000</v>
      </c>
      <c r="G35" s="35">
        <v>1.0023993506494</v>
      </c>
      <c r="H35" s="1" t="s">
        <v>2</v>
      </c>
      <c r="I35" s="18">
        <f>SUM(I30:I34)</f>
        <v>308000</v>
      </c>
      <c r="J35" s="35">
        <v>1.0023993506494</v>
      </c>
      <c r="K35" s="18">
        <f>SUM(K30:K34)</f>
        <v>344411</v>
      </c>
    </row>
    <row r="36" spans="1:11" x14ac:dyDescent="0.2">
      <c r="A36" s="9"/>
      <c r="B36" s="9"/>
      <c r="C36" s="10"/>
      <c r="D36" s="11" t="s">
        <v>2</v>
      </c>
      <c r="E36" s="10"/>
      <c r="F36" s="10"/>
      <c r="G36" s="10"/>
      <c r="H36" s="11" t="s">
        <v>2</v>
      </c>
      <c r="I36" s="10"/>
      <c r="J36" s="10"/>
      <c r="K36" s="10"/>
    </row>
    <row r="37" spans="1:11" x14ac:dyDescent="0.2">
      <c r="A37" s="9"/>
      <c r="B37" s="9"/>
      <c r="C37" s="10"/>
      <c r="D37" s="11" t="s">
        <v>2</v>
      </c>
      <c r="E37" s="10"/>
      <c r="F37" s="10"/>
      <c r="G37" s="10"/>
      <c r="H37" s="11" t="s">
        <v>2</v>
      </c>
      <c r="I37" s="10"/>
      <c r="J37" s="10"/>
      <c r="K37" s="10"/>
    </row>
    <row r="38" spans="1:11" x14ac:dyDescent="0.2">
      <c r="A38" s="12" t="s">
        <v>131</v>
      </c>
      <c r="B38" s="12"/>
      <c r="C38" s="13"/>
      <c r="D38" s="1" t="s">
        <v>2</v>
      </c>
      <c r="E38" s="13"/>
      <c r="F38" s="13"/>
      <c r="G38" s="13"/>
      <c r="H38" s="1" t="s">
        <v>2</v>
      </c>
      <c r="I38" s="13"/>
      <c r="J38" s="13"/>
      <c r="K38" s="13"/>
    </row>
    <row r="39" spans="1:11" x14ac:dyDescent="0.2">
      <c r="A39" s="14" t="s">
        <v>114</v>
      </c>
      <c r="B39" s="9" t="s">
        <v>132</v>
      </c>
      <c r="C39" s="16">
        <v>0</v>
      </c>
      <c r="D39" s="11" t="s">
        <v>2</v>
      </c>
      <c r="E39" s="16">
        <v>0</v>
      </c>
      <c r="F39" s="16">
        <v>4500</v>
      </c>
      <c r="G39" s="25">
        <f t="shared" ref="G39:G40" si="3">+E39/F39</f>
        <v>0</v>
      </c>
      <c r="H39" s="11" t="s">
        <v>2</v>
      </c>
      <c r="I39" s="16">
        <v>4500</v>
      </c>
      <c r="J39" s="25">
        <v>0</v>
      </c>
      <c r="K39" s="16">
        <v>8013</v>
      </c>
    </row>
    <row r="40" spans="1:11" x14ac:dyDescent="0.2">
      <c r="A40" s="14" t="s">
        <v>116</v>
      </c>
      <c r="B40" s="9" t="s">
        <v>133</v>
      </c>
      <c r="C40" s="16">
        <v>0</v>
      </c>
      <c r="D40" s="11" t="s">
        <v>2</v>
      </c>
      <c r="E40" s="16">
        <v>0</v>
      </c>
      <c r="F40" s="16">
        <v>20000</v>
      </c>
      <c r="G40" s="25">
        <f t="shared" si="3"/>
        <v>0</v>
      </c>
      <c r="H40" s="11" t="s">
        <v>2</v>
      </c>
      <c r="I40" s="16">
        <v>20000</v>
      </c>
      <c r="J40" s="25">
        <v>0</v>
      </c>
      <c r="K40" s="16">
        <v>25500</v>
      </c>
    </row>
    <row r="41" spans="1:11" x14ac:dyDescent="0.2">
      <c r="A41" s="9"/>
      <c r="B41" s="9"/>
      <c r="C41" s="19"/>
      <c r="D41" s="11" t="s">
        <v>2</v>
      </c>
      <c r="E41" s="19"/>
      <c r="F41" s="19"/>
      <c r="G41" s="19"/>
      <c r="H41" s="11" t="s">
        <v>2</v>
      </c>
      <c r="I41" s="19"/>
      <c r="J41" s="19"/>
      <c r="K41" s="19"/>
    </row>
    <row r="42" spans="1:11" x14ac:dyDescent="0.2">
      <c r="A42" s="12" t="s">
        <v>134</v>
      </c>
      <c r="B42" s="12"/>
      <c r="C42" s="18">
        <f>SUM(C39:C41)</f>
        <v>0</v>
      </c>
      <c r="D42" s="1" t="s">
        <v>2</v>
      </c>
      <c r="E42" s="18">
        <f t="shared" ref="E42:F42" si="4">SUM(E39:E41)</f>
        <v>0</v>
      </c>
      <c r="F42" s="18">
        <f t="shared" si="4"/>
        <v>24500</v>
      </c>
      <c r="G42" s="35">
        <v>0</v>
      </c>
      <c r="H42" s="1" t="s">
        <v>2</v>
      </c>
      <c r="I42" s="18">
        <f t="shared" ref="I42:K42" si="5">SUM(I39:I41)</f>
        <v>24500</v>
      </c>
      <c r="J42" s="35">
        <v>0</v>
      </c>
      <c r="K42" s="18">
        <f t="shared" si="5"/>
        <v>33513</v>
      </c>
    </row>
    <row r="43" spans="1:11" x14ac:dyDescent="0.2">
      <c r="A43" s="9"/>
      <c r="B43" s="9"/>
      <c r="C43" s="19"/>
      <c r="D43" s="11" t="s">
        <v>2</v>
      </c>
      <c r="E43" s="19"/>
      <c r="F43" s="19"/>
      <c r="G43" s="19"/>
      <c r="H43" s="11" t="s">
        <v>2</v>
      </c>
      <c r="I43" s="19"/>
      <c r="J43" s="19"/>
      <c r="K43" s="19"/>
    </row>
    <row r="44" spans="1:11" x14ac:dyDescent="0.2">
      <c r="A44" s="22" t="s">
        <v>51</v>
      </c>
      <c r="B44" s="22"/>
      <c r="C44" s="27">
        <f>+C42+C35+C26+C18</f>
        <v>0</v>
      </c>
      <c r="D44" s="24" t="s">
        <v>2</v>
      </c>
      <c r="E44" s="27">
        <f>+E42+E35+E26+E18</f>
        <v>406778</v>
      </c>
      <c r="F44" s="27">
        <f>+F42+F35+F26+F18</f>
        <v>449850</v>
      </c>
      <c r="G44" s="28">
        <v>0.90425152828720001</v>
      </c>
      <c r="H44" s="24" t="s">
        <v>2</v>
      </c>
      <c r="I44" s="27">
        <f>+I42+I35+I26+I18</f>
        <v>449850</v>
      </c>
      <c r="J44" s="28">
        <v>0.90425152828720001</v>
      </c>
      <c r="K44" s="27">
        <f>+K42+K35+K26+K18</f>
        <v>446864</v>
      </c>
    </row>
    <row r="45" spans="1:11" x14ac:dyDescent="0.2">
      <c r="A45" s="9"/>
      <c r="B45" s="9"/>
      <c r="C45" s="10"/>
      <c r="D45" s="11" t="s">
        <v>2</v>
      </c>
      <c r="E45" s="10"/>
      <c r="F45" s="10"/>
      <c r="G45" s="10"/>
      <c r="H45" s="11" t="s">
        <v>2</v>
      </c>
      <c r="I45" s="27"/>
      <c r="J45" s="10"/>
      <c r="K45" s="10"/>
    </row>
    <row r="46" spans="1:11" x14ac:dyDescent="0.2">
      <c r="A46" s="9"/>
      <c r="B46" s="9"/>
      <c r="C46" s="10"/>
      <c r="D46" s="11" t="s">
        <v>2</v>
      </c>
      <c r="E46" s="10"/>
      <c r="F46" s="10"/>
      <c r="G46" s="10"/>
      <c r="H46" s="11" t="s">
        <v>2</v>
      </c>
      <c r="I46" s="10"/>
      <c r="J46" s="10"/>
      <c r="K46" s="10"/>
    </row>
    <row r="47" spans="1:11" x14ac:dyDescent="0.2">
      <c r="A47" s="22" t="s">
        <v>64</v>
      </c>
      <c r="B47" s="22"/>
      <c r="C47" s="23"/>
      <c r="D47" s="24" t="s">
        <v>2</v>
      </c>
      <c r="E47" s="23"/>
      <c r="F47" s="23"/>
      <c r="G47" s="23"/>
      <c r="H47" s="24" t="s">
        <v>2</v>
      </c>
      <c r="I47" s="23"/>
      <c r="J47" s="23"/>
      <c r="K47" s="23"/>
    </row>
    <row r="48" spans="1:11" x14ac:dyDescent="0.2">
      <c r="A48" s="9"/>
      <c r="B48" s="9"/>
      <c r="C48" s="10"/>
      <c r="D48" s="11" t="s">
        <v>2</v>
      </c>
      <c r="E48" s="10"/>
      <c r="F48" s="10"/>
      <c r="G48" s="10"/>
      <c r="H48" s="11" t="s">
        <v>2</v>
      </c>
      <c r="I48" s="10"/>
      <c r="J48" s="10"/>
      <c r="K48" s="10"/>
    </row>
    <row r="49" spans="1:11" x14ac:dyDescent="0.2">
      <c r="A49" s="9"/>
      <c r="B49" s="9"/>
      <c r="C49" s="10"/>
      <c r="D49" s="11" t="s">
        <v>2</v>
      </c>
      <c r="E49" s="10"/>
      <c r="F49" s="10"/>
      <c r="G49" s="10"/>
      <c r="H49" s="11" t="s">
        <v>2</v>
      </c>
      <c r="I49" s="10"/>
      <c r="J49" s="10"/>
      <c r="K49" s="10"/>
    </row>
    <row r="50" spans="1:11" x14ac:dyDescent="0.2">
      <c r="A50" s="12" t="s">
        <v>135</v>
      </c>
      <c r="B50" s="12"/>
      <c r="C50" s="13"/>
      <c r="D50" s="1" t="s">
        <v>2</v>
      </c>
      <c r="E50" s="13"/>
      <c r="F50" s="13"/>
      <c r="G50" s="13"/>
      <c r="H50" s="1" t="s">
        <v>2</v>
      </c>
      <c r="I50" s="13"/>
      <c r="J50" s="13"/>
      <c r="K50" s="13"/>
    </row>
    <row r="51" spans="1:11" x14ac:dyDescent="0.2">
      <c r="A51" s="14" t="s">
        <v>136</v>
      </c>
      <c r="B51" s="9" t="s">
        <v>137</v>
      </c>
      <c r="C51" s="16">
        <v>0</v>
      </c>
      <c r="D51" s="11" t="s">
        <v>2</v>
      </c>
      <c r="E51" s="16">
        <v>6916</v>
      </c>
      <c r="F51" s="16">
        <v>2500</v>
      </c>
      <c r="G51" s="25">
        <f t="shared" ref="G51:G61" si="6">+E51/F51</f>
        <v>2.7664</v>
      </c>
      <c r="H51" s="11" t="s">
        <v>2</v>
      </c>
      <c r="I51" s="16">
        <v>2500</v>
      </c>
      <c r="J51" s="25">
        <f t="shared" ref="J51" si="7">+E51/I51</f>
        <v>2.7664</v>
      </c>
      <c r="K51" s="16">
        <v>1118</v>
      </c>
    </row>
    <row r="52" spans="1:11" x14ac:dyDescent="0.2">
      <c r="A52" s="14" t="s">
        <v>138</v>
      </c>
      <c r="B52" s="9" t="s">
        <v>139</v>
      </c>
      <c r="C52" s="16">
        <v>0</v>
      </c>
      <c r="D52" s="11" t="s">
        <v>2</v>
      </c>
      <c r="E52" s="16">
        <v>0</v>
      </c>
      <c r="F52" s="16">
        <v>2500</v>
      </c>
      <c r="G52" s="25">
        <f t="shared" si="6"/>
        <v>0</v>
      </c>
      <c r="H52" s="11" t="s">
        <v>2</v>
      </c>
      <c r="I52" s="16">
        <v>2500</v>
      </c>
      <c r="J52" s="25">
        <v>0</v>
      </c>
      <c r="K52" s="16">
        <v>12586</v>
      </c>
    </row>
    <row r="53" spans="1:11" x14ac:dyDescent="0.2">
      <c r="A53" s="14" t="s">
        <v>112</v>
      </c>
      <c r="B53" s="9" t="s">
        <v>140</v>
      </c>
      <c r="C53" s="16">
        <v>0</v>
      </c>
      <c r="D53" s="11" t="s">
        <v>2</v>
      </c>
      <c r="E53" s="16">
        <v>0</v>
      </c>
      <c r="F53" s="16">
        <v>8000</v>
      </c>
      <c r="G53" s="25">
        <f t="shared" si="6"/>
        <v>0</v>
      </c>
      <c r="H53" s="11" t="s">
        <v>2</v>
      </c>
      <c r="I53" s="16">
        <v>8000</v>
      </c>
      <c r="J53" s="25">
        <v>0</v>
      </c>
      <c r="K53" s="16">
        <v>0</v>
      </c>
    </row>
    <row r="54" spans="1:11" x14ac:dyDescent="0.2">
      <c r="A54" s="14" t="s">
        <v>141</v>
      </c>
      <c r="B54" s="9" t="s">
        <v>142</v>
      </c>
      <c r="C54" s="16">
        <v>0</v>
      </c>
      <c r="D54" s="11" t="s">
        <v>2</v>
      </c>
      <c r="E54" s="16">
        <v>0</v>
      </c>
      <c r="F54" s="16">
        <v>0</v>
      </c>
      <c r="G54" s="25">
        <v>0</v>
      </c>
      <c r="H54" s="11" t="s">
        <v>2</v>
      </c>
      <c r="I54" s="16">
        <v>0</v>
      </c>
      <c r="J54" s="25">
        <v>0</v>
      </c>
      <c r="K54" s="16">
        <v>144</v>
      </c>
    </row>
    <row r="55" spans="1:11" x14ac:dyDescent="0.2">
      <c r="A55" s="14" t="s">
        <v>143</v>
      </c>
      <c r="B55" s="9" t="s">
        <v>144</v>
      </c>
      <c r="C55" s="16">
        <v>0</v>
      </c>
      <c r="D55" s="11" t="s">
        <v>2</v>
      </c>
      <c r="E55" s="16">
        <v>0</v>
      </c>
      <c r="F55" s="16">
        <v>150</v>
      </c>
      <c r="G55" s="25">
        <f t="shared" si="6"/>
        <v>0</v>
      </c>
      <c r="H55" s="11" t="s">
        <v>2</v>
      </c>
      <c r="I55" s="16">
        <v>150</v>
      </c>
      <c r="J55" s="25">
        <v>0</v>
      </c>
      <c r="K55" s="16">
        <v>0</v>
      </c>
    </row>
    <row r="56" spans="1:11" x14ac:dyDescent="0.2">
      <c r="A56" s="14" t="s">
        <v>100</v>
      </c>
      <c r="B56" s="9" t="s">
        <v>145</v>
      </c>
      <c r="C56" s="16">
        <v>0</v>
      </c>
      <c r="D56" s="11" t="s">
        <v>2</v>
      </c>
      <c r="E56" s="16">
        <v>0</v>
      </c>
      <c r="F56" s="16">
        <v>0</v>
      </c>
      <c r="G56" s="25">
        <v>0</v>
      </c>
      <c r="H56" s="11" t="s">
        <v>2</v>
      </c>
      <c r="I56" s="16">
        <v>0</v>
      </c>
      <c r="J56" s="25">
        <v>0</v>
      </c>
      <c r="K56" s="16">
        <v>72</v>
      </c>
    </row>
    <row r="57" spans="1:11" x14ac:dyDescent="0.2">
      <c r="A57" s="14" t="s">
        <v>146</v>
      </c>
      <c r="B57" s="9" t="s">
        <v>147</v>
      </c>
      <c r="C57" s="16">
        <v>0</v>
      </c>
      <c r="D57" s="11" t="s">
        <v>2</v>
      </c>
      <c r="E57" s="16">
        <v>0</v>
      </c>
      <c r="F57" s="16">
        <v>0</v>
      </c>
      <c r="G57" s="25">
        <v>0</v>
      </c>
      <c r="H57" s="11" t="s">
        <v>2</v>
      </c>
      <c r="I57" s="16">
        <v>0</v>
      </c>
      <c r="J57" s="25">
        <v>0</v>
      </c>
      <c r="K57" s="16">
        <v>525</v>
      </c>
    </row>
    <row r="58" spans="1:11" x14ac:dyDescent="0.2">
      <c r="A58" s="14" t="s">
        <v>148</v>
      </c>
      <c r="B58" s="9" t="s">
        <v>149</v>
      </c>
      <c r="C58" s="16">
        <v>0</v>
      </c>
      <c r="D58" s="11" t="s">
        <v>2</v>
      </c>
      <c r="E58" s="16">
        <v>0</v>
      </c>
      <c r="F58" s="16">
        <v>10000</v>
      </c>
      <c r="G58" s="25">
        <f t="shared" si="6"/>
        <v>0</v>
      </c>
      <c r="H58" s="11" t="s">
        <v>2</v>
      </c>
      <c r="I58" s="16">
        <v>10000</v>
      </c>
      <c r="J58" s="25">
        <v>0</v>
      </c>
      <c r="K58" s="16">
        <v>160</v>
      </c>
    </row>
    <row r="59" spans="1:11" x14ac:dyDescent="0.2">
      <c r="A59" s="14" t="s">
        <v>102</v>
      </c>
      <c r="B59" s="9" t="s">
        <v>150</v>
      </c>
      <c r="C59" s="16">
        <v>0</v>
      </c>
      <c r="D59" s="11" t="s">
        <v>2</v>
      </c>
      <c r="E59" s="16">
        <v>0</v>
      </c>
      <c r="F59" s="16">
        <v>1500</v>
      </c>
      <c r="G59" s="25">
        <f t="shared" si="6"/>
        <v>0</v>
      </c>
      <c r="H59" s="11" t="s">
        <v>2</v>
      </c>
      <c r="I59" s="16">
        <v>1500</v>
      </c>
      <c r="J59" s="25">
        <v>0</v>
      </c>
      <c r="K59" s="16">
        <v>1506</v>
      </c>
    </row>
    <row r="60" spans="1:11" x14ac:dyDescent="0.2">
      <c r="A60" s="14" t="s">
        <v>151</v>
      </c>
      <c r="B60" s="9" t="s">
        <v>152</v>
      </c>
      <c r="C60" s="16">
        <v>0</v>
      </c>
      <c r="D60" s="11" t="s">
        <v>2</v>
      </c>
      <c r="E60" s="16">
        <v>0</v>
      </c>
      <c r="F60" s="16">
        <v>200</v>
      </c>
      <c r="G60" s="25">
        <f t="shared" si="6"/>
        <v>0</v>
      </c>
      <c r="H60" s="11" t="s">
        <v>2</v>
      </c>
      <c r="I60" s="16">
        <v>200</v>
      </c>
      <c r="J60" s="25">
        <v>0</v>
      </c>
      <c r="K60" s="16">
        <v>171</v>
      </c>
    </row>
    <row r="61" spans="1:11" x14ac:dyDescent="0.2">
      <c r="A61" s="14" t="s">
        <v>153</v>
      </c>
      <c r="B61" s="9" t="s">
        <v>154</v>
      </c>
      <c r="C61" s="16">
        <v>0</v>
      </c>
      <c r="D61" s="11" t="s">
        <v>2</v>
      </c>
      <c r="E61" s="16">
        <v>0</v>
      </c>
      <c r="F61" s="16">
        <v>100</v>
      </c>
      <c r="G61" s="25">
        <f t="shared" si="6"/>
        <v>0</v>
      </c>
      <c r="H61" s="11" t="s">
        <v>2</v>
      </c>
      <c r="I61" s="16">
        <v>100</v>
      </c>
      <c r="J61" s="25">
        <v>0</v>
      </c>
      <c r="K61" s="16">
        <v>35</v>
      </c>
    </row>
    <row r="62" spans="1:11" x14ac:dyDescent="0.2">
      <c r="A62" s="9"/>
      <c r="B62" s="9"/>
      <c r="C62" s="19"/>
      <c r="D62" s="11" t="s">
        <v>2</v>
      </c>
      <c r="E62" s="19"/>
      <c r="F62" s="19"/>
      <c r="G62" s="19"/>
      <c r="H62" s="11" t="s">
        <v>2</v>
      </c>
      <c r="I62" s="19"/>
      <c r="J62" s="19"/>
      <c r="K62" s="19"/>
    </row>
    <row r="63" spans="1:11" x14ac:dyDescent="0.2">
      <c r="A63" s="12" t="s">
        <v>155</v>
      </c>
      <c r="B63" s="12"/>
      <c r="C63" s="18">
        <f>SUM(C51:C62)</f>
        <v>0</v>
      </c>
      <c r="D63" s="1" t="s">
        <v>2</v>
      </c>
      <c r="E63" s="18">
        <f t="shared" ref="E63:F63" si="8">SUM(E51:E62)</f>
        <v>6916</v>
      </c>
      <c r="F63" s="18">
        <f t="shared" si="8"/>
        <v>24950</v>
      </c>
      <c r="G63" s="35">
        <v>0.27717474949900001</v>
      </c>
      <c r="H63" s="1" t="s">
        <v>2</v>
      </c>
      <c r="I63" s="18">
        <f t="shared" ref="I63:K63" si="9">SUM(I51:I62)</f>
        <v>24950</v>
      </c>
      <c r="J63" s="35">
        <f>+E63/I63</f>
        <v>0.27719438877755509</v>
      </c>
      <c r="K63" s="18">
        <f t="shared" si="9"/>
        <v>16317</v>
      </c>
    </row>
    <row r="64" spans="1:11" x14ac:dyDescent="0.2">
      <c r="A64" s="9"/>
      <c r="B64" s="9"/>
      <c r="C64" s="10"/>
      <c r="D64" s="11" t="s">
        <v>2</v>
      </c>
      <c r="E64" s="10"/>
      <c r="F64" s="10"/>
      <c r="G64" s="10"/>
      <c r="H64" s="11" t="s">
        <v>2</v>
      </c>
      <c r="I64" s="10"/>
      <c r="J64" s="10"/>
      <c r="K64" s="10"/>
    </row>
    <row r="65" spans="1:11" x14ac:dyDescent="0.2">
      <c r="A65" s="9"/>
      <c r="B65" s="9"/>
      <c r="C65" s="10"/>
      <c r="D65" s="11" t="s">
        <v>2</v>
      </c>
      <c r="E65" s="10"/>
      <c r="F65" s="10"/>
      <c r="G65" s="10"/>
      <c r="H65" s="11" t="s">
        <v>2</v>
      </c>
      <c r="I65" s="10"/>
      <c r="J65" s="10"/>
      <c r="K65" s="10"/>
    </row>
    <row r="66" spans="1:11" x14ac:dyDescent="0.2">
      <c r="A66" s="12" t="s">
        <v>156</v>
      </c>
      <c r="B66" s="12"/>
      <c r="C66" s="13"/>
      <c r="D66" s="1" t="s">
        <v>2</v>
      </c>
      <c r="E66" s="13"/>
      <c r="F66" s="13"/>
      <c r="G66" s="13"/>
      <c r="H66" s="1" t="s">
        <v>2</v>
      </c>
      <c r="I66" s="13"/>
      <c r="J66" s="13"/>
      <c r="K66" s="13"/>
    </row>
    <row r="67" spans="1:11" x14ac:dyDescent="0.2">
      <c r="A67" s="14" t="s">
        <v>136</v>
      </c>
      <c r="B67" s="9" t="s">
        <v>157</v>
      </c>
      <c r="C67" s="16">
        <v>0</v>
      </c>
      <c r="D67" s="11" t="s">
        <v>2</v>
      </c>
      <c r="E67" s="16">
        <v>24817</v>
      </c>
      <c r="F67" s="16">
        <v>7000</v>
      </c>
      <c r="G67" s="25">
        <f t="shared" ref="G67:G79" si="10">+E67/F67</f>
        <v>3.5452857142857144</v>
      </c>
      <c r="H67" s="11" t="s">
        <v>2</v>
      </c>
      <c r="I67" s="16">
        <v>7000</v>
      </c>
      <c r="J67" s="25">
        <f t="shared" ref="J67" si="11">+E67/I67</f>
        <v>3.5452857142857144</v>
      </c>
      <c r="K67" s="16">
        <v>3275</v>
      </c>
    </row>
    <row r="68" spans="1:11" x14ac:dyDescent="0.2">
      <c r="A68" s="14" t="s">
        <v>90</v>
      </c>
      <c r="B68" s="9" t="s">
        <v>158</v>
      </c>
      <c r="C68" s="16">
        <v>0</v>
      </c>
      <c r="D68" s="11" t="s">
        <v>2</v>
      </c>
      <c r="E68" s="16">
        <v>0</v>
      </c>
      <c r="F68" s="16">
        <v>0</v>
      </c>
      <c r="G68" s="25">
        <v>0</v>
      </c>
      <c r="H68" s="11" t="s">
        <v>2</v>
      </c>
      <c r="I68" s="16">
        <v>0</v>
      </c>
      <c r="J68" s="25">
        <v>0</v>
      </c>
      <c r="K68" s="16">
        <v>763</v>
      </c>
    </row>
    <row r="69" spans="1:11" x14ac:dyDescent="0.2">
      <c r="A69" s="14" t="s">
        <v>159</v>
      </c>
      <c r="B69" s="9" t="s">
        <v>160</v>
      </c>
      <c r="C69" s="16">
        <v>0</v>
      </c>
      <c r="D69" s="11" t="s">
        <v>2</v>
      </c>
      <c r="E69" s="16">
        <v>0</v>
      </c>
      <c r="F69" s="16">
        <v>200</v>
      </c>
      <c r="G69" s="25">
        <f t="shared" si="10"/>
        <v>0</v>
      </c>
      <c r="H69" s="11" t="s">
        <v>2</v>
      </c>
      <c r="I69" s="16">
        <v>200</v>
      </c>
      <c r="J69" s="25">
        <v>0</v>
      </c>
      <c r="K69" s="16">
        <v>0</v>
      </c>
    </row>
    <row r="70" spans="1:11" x14ac:dyDescent="0.2">
      <c r="A70" s="14" t="s">
        <v>161</v>
      </c>
      <c r="B70" s="9" t="s">
        <v>162</v>
      </c>
      <c r="C70" s="16">
        <v>0</v>
      </c>
      <c r="D70" s="11" t="s">
        <v>2</v>
      </c>
      <c r="E70" s="16">
        <v>0</v>
      </c>
      <c r="F70" s="16">
        <v>1200</v>
      </c>
      <c r="G70" s="25">
        <f t="shared" si="10"/>
        <v>0</v>
      </c>
      <c r="H70" s="11" t="s">
        <v>2</v>
      </c>
      <c r="I70" s="16">
        <v>1200</v>
      </c>
      <c r="J70" s="25">
        <v>0</v>
      </c>
      <c r="K70" s="16">
        <v>500</v>
      </c>
    </row>
    <row r="71" spans="1:11" x14ac:dyDescent="0.2">
      <c r="A71" s="14" t="s">
        <v>138</v>
      </c>
      <c r="B71" s="9" t="s">
        <v>163</v>
      </c>
      <c r="C71" s="16">
        <v>0</v>
      </c>
      <c r="D71" s="11" t="s">
        <v>2</v>
      </c>
      <c r="E71" s="16">
        <v>18694</v>
      </c>
      <c r="F71" s="16">
        <v>20000</v>
      </c>
      <c r="G71" s="25">
        <f t="shared" si="10"/>
        <v>0.93469999999999998</v>
      </c>
      <c r="H71" s="11" t="s">
        <v>2</v>
      </c>
      <c r="I71" s="16">
        <v>20000</v>
      </c>
      <c r="J71" s="25">
        <f t="shared" ref="J71:J79" si="12">+E71/I71</f>
        <v>0.93469999999999998</v>
      </c>
      <c r="K71" s="16">
        <v>9682</v>
      </c>
    </row>
    <row r="72" spans="1:11" x14ac:dyDescent="0.2">
      <c r="A72" s="14" t="s">
        <v>164</v>
      </c>
      <c r="B72" s="9" t="s">
        <v>165</v>
      </c>
      <c r="C72" s="16">
        <v>0</v>
      </c>
      <c r="D72" s="11" t="s">
        <v>2</v>
      </c>
      <c r="E72" s="16">
        <v>0</v>
      </c>
      <c r="F72" s="16">
        <v>600</v>
      </c>
      <c r="G72" s="25">
        <f t="shared" si="10"/>
        <v>0</v>
      </c>
      <c r="H72" s="11" t="s">
        <v>2</v>
      </c>
      <c r="I72" s="16">
        <v>600</v>
      </c>
      <c r="J72" s="25">
        <v>0</v>
      </c>
      <c r="K72" s="16">
        <v>0</v>
      </c>
    </row>
    <row r="73" spans="1:11" x14ac:dyDescent="0.2">
      <c r="A73" s="14" t="s">
        <v>112</v>
      </c>
      <c r="B73" s="9" t="s">
        <v>166</v>
      </c>
      <c r="C73" s="16">
        <v>0</v>
      </c>
      <c r="D73" s="11" t="s">
        <v>2</v>
      </c>
      <c r="E73" s="16">
        <v>0</v>
      </c>
      <c r="F73" s="16">
        <v>25000</v>
      </c>
      <c r="G73" s="25">
        <f t="shared" si="10"/>
        <v>0</v>
      </c>
      <c r="H73" s="11" t="s">
        <v>2</v>
      </c>
      <c r="I73" s="16">
        <v>25000</v>
      </c>
      <c r="J73" s="25">
        <f t="shared" si="12"/>
        <v>0</v>
      </c>
      <c r="K73" s="16">
        <v>0</v>
      </c>
    </row>
    <row r="74" spans="1:11" x14ac:dyDescent="0.2">
      <c r="A74" s="14" t="s">
        <v>167</v>
      </c>
      <c r="B74" s="9" t="s">
        <v>168</v>
      </c>
      <c r="C74" s="16">
        <v>0</v>
      </c>
      <c r="D74" s="11" t="s">
        <v>2</v>
      </c>
      <c r="E74" s="16">
        <v>93</v>
      </c>
      <c r="F74" s="16">
        <v>200</v>
      </c>
      <c r="G74" s="25">
        <f t="shared" si="10"/>
        <v>0.46500000000000002</v>
      </c>
      <c r="H74" s="11" t="s">
        <v>2</v>
      </c>
      <c r="I74" s="16">
        <v>200</v>
      </c>
      <c r="J74" s="25">
        <f t="shared" si="12"/>
        <v>0.46500000000000002</v>
      </c>
      <c r="K74" s="16">
        <v>0</v>
      </c>
    </row>
    <row r="75" spans="1:11" x14ac:dyDescent="0.2">
      <c r="A75" s="14" t="s">
        <v>146</v>
      </c>
      <c r="B75" s="9" t="s">
        <v>169</v>
      </c>
      <c r="C75" s="16">
        <v>0</v>
      </c>
      <c r="D75" s="11" t="s">
        <v>2</v>
      </c>
      <c r="E75" s="16">
        <v>0</v>
      </c>
      <c r="F75" s="16">
        <v>300</v>
      </c>
      <c r="G75" s="25">
        <f t="shared" si="10"/>
        <v>0</v>
      </c>
      <c r="H75" s="11" t="s">
        <v>2</v>
      </c>
      <c r="I75" s="16">
        <v>300</v>
      </c>
      <c r="J75" s="25">
        <f t="shared" si="12"/>
        <v>0</v>
      </c>
      <c r="K75" s="16">
        <v>0</v>
      </c>
    </row>
    <row r="76" spans="1:11" x14ac:dyDescent="0.2">
      <c r="A76" s="14" t="s">
        <v>170</v>
      </c>
      <c r="B76" s="9" t="s">
        <v>171</v>
      </c>
      <c r="C76" s="16">
        <v>0</v>
      </c>
      <c r="D76" s="11" t="s">
        <v>2</v>
      </c>
      <c r="E76" s="16">
        <v>254</v>
      </c>
      <c r="F76" s="16">
        <v>500</v>
      </c>
      <c r="G76" s="25">
        <f t="shared" si="10"/>
        <v>0.50800000000000001</v>
      </c>
      <c r="H76" s="11" t="s">
        <v>2</v>
      </c>
      <c r="I76" s="16">
        <v>500</v>
      </c>
      <c r="J76" s="25">
        <f t="shared" si="12"/>
        <v>0.50800000000000001</v>
      </c>
      <c r="K76" s="16">
        <v>0</v>
      </c>
    </row>
    <row r="77" spans="1:11" x14ac:dyDescent="0.2">
      <c r="A77" s="14" t="s">
        <v>148</v>
      </c>
      <c r="B77" s="9" t="s">
        <v>172</v>
      </c>
      <c r="C77" s="16">
        <v>0</v>
      </c>
      <c r="D77" s="11" t="s">
        <v>2</v>
      </c>
      <c r="E77" s="16">
        <v>7984</v>
      </c>
      <c r="F77" s="16">
        <v>10000</v>
      </c>
      <c r="G77" s="25">
        <f t="shared" si="10"/>
        <v>0.7984</v>
      </c>
      <c r="H77" s="11" t="s">
        <v>2</v>
      </c>
      <c r="I77" s="16">
        <v>10000</v>
      </c>
      <c r="J77" s="25">
        <f t="shared" si="12"/>
        <v>0.7984</v>
      </c>
      <c r="K77" s="16">
        <v>7569</v>
      </c>
    </row>
    <row r="78" spans="1:11" x14ac:dyDescent="0.2">
      <c r="A78" s="14" t="s">
        <v>102</v>
      </c>
      <c r="B78" s="9" t="s">
        <v>173</v>
      </c>
      <c r="C78" s="16">
        <v>0</v>
      </c>
      <c r="D78" s="11" t="s">
        <v>2</v>
      </c>
      <c r="E78" s="16">
        <v>5300</v>
      </c>
      <c r="F78" s="16">
        <v>4500</v>
      </c>
      <c r="G78" s="25">
        <f t="shared" si="10"/>
        <v>1.1777777777777778</v>
      </c>
      <c r="H78" s="11" t="s">
        <v>2</v>
      </c>
      <c r="I78" s="16">
        <v>4500</v>
      </c>
      <c r="J78" s="25">
        <f t="shared" si="12"/>
        <v>1.1777777777777778</v>
      </c>
      <c r="K78" s="16">
        <v>4464</v>
      </c>
    </row>
    <row r="79" spans="1:11" x14ac:dyDescent="0.2">
      <c r="A79" s="14" t="s">
        <v>151</v>
      </c>
      <c r="B79" s="9" t="s">
        <v>174</v>
      </c>
      <c r="C79" s="16">
        <v>0</v>
      </c>
      <c r="D79" s="11" t="s">
        <v>2</v>
      </c>
      <c r="E79" s="16">
        <v>204</v>
      </c>
      <c r="F79" s="16">
        <v>500</v>
      </c>
      <c r="G79" s="25">
        <f t="shared" si="10"/>
        <v>0.40799999999999997</v>
      </c>
      <c r="H79" s="11" t="s">
        <v>2</v>
      </c>
      <c r="I79" s="16">
        <v>500</v>
      </c>
      <c r="J79" s="25">
        <f t="shared" si="12"/>
        <v>0.40799999999999997</v>
      </c>
      <c r="K79" s="16">
        <v>400</v>
      </c>
    </row>
    <row r="80" spans="1:11" x14ac:dyDescent="0.2">
      <c r="A80" s="9"/>
      <c r="B80" s="9"/>
      <c r="C80" s="19"/>
      <c r="D80" s="11" t="s">
        <v>2</v>
      </c>
      <c r="E80" s="19"/>
      <c r="F80" s="19"/>
      <c r="G80" s="19"/>
      <c r="H80" s="11" t="s">
        <v>2</v>
      </c>
      <c r="I80" s="19"/>
      <c r="J80" s="19"/>
      <c r="K80" s="19"/>
    </row>
    <row r="81" spans="1:11" x14ac:dyDescent="0.2">
      <c r="A81" s="12" t="s">
        <v>175</v>
      </c>
      <c r="B81" s="12"/>
      <c r="C81" s="18">
        <f>SUM(C67:C80)</f>
        <v>0</v>
      </c>
      <c r="D81" s="1" t="s">
        <v>2</v>
      </c>
      <c r="E81" s="18">
        <f t="shared" ref="E81:F81" si="13">SUM(E67:E80)</f>
        <v>57346</v>
      </c>
      <c r="F81" s="18">
        <f t="shared" si="13"/>
        <v>70000</v>
      </c>
      <c r="G81" s="35">
        <v>0.81922928571429998</v>
      </c>
      <c r="H81" s="1" t="s">
        <v>2</v>
      </c>
      <c r="I81" s="18">
        <f t="shared" ref="I81:K81" si="14">SUM(I67:I80)</f>
        <v>70000</v>
      </c>
      <c r="J81" s="35">
        <f>+E81/I81</f>
        <v>0.81922857142857142</v>
      </c>
      <c r="K81" s="18">
        <f t="shared" si="14"/>
        <v>26653</v>
      </c>
    </row>
    <row r="82" spans="1:11" x14ac:dyDescent="0.2">
      <c r="A82" s="9"/>
      <c r="B82" s="9"/>
      <c r="C82" s="10"/>
      <c r="D82" s="11" t="s">
        <v>2</v>
      </c>
      <c r="E82" s="10"/>
      <c r="F82" s="10"/>
      <c r="G82" s="10"/>
      <c r="H82" s="11" t="s">
        <v>2</v>
      </c>
      <c r="I82" s="10"/>
      <c r="J82" s="10"/>
      <c r="K82" s="10"/>
    </row>
    <row r="83" spans="1:11" x14ac:dyDescent="0.2">
      <c r="A83" s="9"/>
      <c r="B83" s="9"/>
      <c r="C83" s="10"/>
      <c r="D83" s="11" t="s">
        <v>2</v>
      </c>
      <c r="E83" s="10"/>
      <c r="F83" s="10"/>
      <c r="G83" s="10"/>
      <c r="H83" s="11" t="s">
        <v>2</v>
      </c>
      <c r="I83" s="10"/>
      <c r="J83" s="10"/>
      <c r="K83" s="10"/>
    </row>
    <row r="84" spans="1:11" x14ac:dyDescent="0.2">
      <c r="A84" s="12" t="s">
        <v>176</v>
      </c>
      <c r="B84" s="12"/>
      <c r="C84" s="13"/>
      <c r="D84" s="1" t="s">
        <v>2</v>
      </c>
      <c r="E84" s="13"/>
      <c r="F84" s="13"/>
      <c r="G84" s="13"/>
      <c r="H84" s="1" t="s">
        <v>2</v>
      </c>
      <c r="I84" s="13"/>
      <c r="J84" s="13"/>
      <c r="K84" s="13"/>
    </row>
    <row r="85" spans="1:11" x14ac:dyDescent="0.2">
      <c r="A85" s="14" t="s">
        <v>136</v>
      </c>
      <c r="B85" s="9" t="s">
        <v>177</v>
      </c>
      <c r="C85" s="16">
        <v>0</v>
      </c>
      <c r="D85" s="11" t="s">
        <v>2</v>
      </c>
      <c r="E85" s="16">
        <v>12221</v>
      </c>
      <c r="F85" s="16">
        <v>9000</v>
      </c>
      <c r="G85" s="25">
        <f t="shared" ref="G85:G102" si="15">+E85/F85</f>
        <v>1.3578888888888889</v>
      </c>
      <c r="H85" s="11" t="s">
        <v>2</v>
      </c>
      <c r="I85" s="16">
        <v>9000</v>
      </c>
      <c r="J85" s="25">
        <f t="shared" ref="J85:J102" si="16">+E85/I85</f>
        <v>1.3578888888888889</v>
      </c>
      <c r="K85" s="16">
        <v>6228</v>
      </c>
    </row>
    <row r="86" spans="1:11" x14ac:dyDescent="0.2">
      <c r="A86" s="14" t="s">
        <v>178</v>
      </c>
      <c r="B86" s="9" t="s">
        <v>179</v>
      </c>
      <c r="C86" s="16">
        <v>0</v>
      </c>
      <c r="D86" s="11" t="s">
        <v>2</v>
      </c>
      <c r="E86" s="16">
        <v>504</v>
      </c>
      <c r="F86" s="16">
        <v>1300</v>
      </c>
      <c r="G86" s="25">
        <f t="shared" si="15"/>
        <v>0.38769230769230767</v>
      </c>
      <c r="H86" s="11" t="s">
        <v>2</v>
      </c>
      <c r="I86" s="16">
        <v>1300</v>
      </c>
      <c r="J86" s="25">
        <f t="shared" si="16"/>
        <v>0.38769230769230767</v>
      </c>
      <c r="K86" s="16">
        <v>227</v>
      </c>
    </row>
    <row r="87" spans="1:11" x14ac:dyDescent="0.2">
      <c r="A87" s="14" t="s">
        <v>159</v>
      </c>
      <c r="B87" s="9" t="s">
        <v>180</v>
      </c>
      <c r="C87" s="16">
        <v>0</v>
      </c>
      <c r="D87" s="11" t="s">
        <v>2</v>
      </c>
      <c r="E87" s="16">
        <v>5</v>
      </c>
      <c r="F87" s="16">
        <v>150</v>
      </c>
      <c r="G87" s="25">
        <f t="shared" si="15"/>
        <v>3.3333333333333333E-2</v>
      </c>
      <c r="H87" s="11" t="s">
        <v>2</v>
      </c>
      <c r="I87" s="16">
        <v>150</v>
      </c>
      <c r="J87" s="25">
        <f t="shared" si="16"/>
        <v>3.3333333333333333E-2</v>
      </c>
      <c r="K87" s="16">
        <v>0</v>
      </c>
    </row>
    <row r="88" spans="1:11" x14ac:dyDescent="0.2">
      <c r="A88" s="14" t="s">
        <v>161</v>
      </c>
      <c r="B88" s="9" t="s">
        <v>181</v>
      </c>
      <c r="C88" s="16">
        <v>0</v>
      </c>
      <c r="D88" s="11" t="s">
        <v>2</v>
      </c>
      <c r="E88" s="16">
        <v>500</v>
      </c>
      <c r="F88" s="16">
        <v>1700</v>
      </c>
      <c r="G88" s="25">
        <f t="shared" si="15"/>
        <v>0.29411764705882354</v>
      </c>
      <c r="H88" s="11" t="s">
        <v>2</v>
      </c>
      <c r="I88" s="16">
        <v>1700</v>
      </c>
      <c r="J88" s="25">
        <f t="shared" si="16"/>
        <v>0.29411764705882354</v>
      </c>
      <c r="K88" s="16">
        <v>233</v>
      </c>
    </row>
    <row r="89" spans="1:11" x14ac:dyDescent="0.2">
      <c r="A89" s="14" t="s">
        <v>138</v>
      </c>
      <c r="B89" s="9" t="s">
        <v>182</v>
      </c>
      <c r="C89" s="16">
        <v>0</v>
      </c>
      <c r="D89" s="11" t="s">
        <v>2</v>
      </c>
      <c r="E89" s="16">
        <v>9850</v>
      </c>
      <c r="F89" s="16">
        <v>5000</v>
      </c>
      <c r="G89" s="25">
        <f t="shared" si="15"/>
        <v>1.97</v>
      </c>
      <c r="H89" s="11" t="s">
        <v>2</v>
      </c>
      <c r="I89" s="16">
        <v>5000</v>
      </c>
      <c r="J89" s="25">
        <f t="shared" si="16"/>
        <v>1.97</v>
      </c>
      <c r="K89" s="16">
        <v>20045</v>
      </c>
    </row>
    <row r="90" spans="1:11" x14ac:dyDescent="0.2">
      <c r="A90" s="14" t="s">
        <v>164</v>
      </c>
      <c r="B90" s="9" t="s">
        <v>183</v>
      </c>
      <c r="C90" s="16">
        <v>0</v>
      </c>
      <c r="D90" s="11" t="s">
        <v>2</v>
      </c>
      <c r="E90" s="16">
        <v>0</v>
      </c>
      <c r="F90" s="16">
        <v>3200</v>
      </c>
      <c r="G90" s="25">
        <f t="shared" si="15"/>
        <v>0</v>
      </c>
      <c r="H90" s="11" t="s">
        <v>2</v>
      </c>
      <c r="I90" s="16">
        <v>3200</v>
      </c>
      <c r="J90" s="25">
        <f t="shared" si="16"/>
        <v>0</v>
      </c>
      <c r="K90" s="16">
        <v>0</v>
      </c>
    </row>
    <row r="91" spans="1:11" x14ac:dyDescent="0.2">
      <c r="A91" s="14" t="s">
        <v>112</v>
      </c>
      <c r="B91" s="9" t="s">
        <v>184</v>
      </c>
      <c r="C91" s="16">
        <v>0</v>
      </c>
      <c r="D91" s="11" t="s">
        <v>2</v>
      </c>
      <c r="E91" s="16">
        <v>181406</v>
      </c>
      <c r="F91" s="16">
        <v>170000</v>
      </c>
      <c r="G91" s="25">
        <f t="shared" si="15"/>
        <v>1.0670941176470587</v>
      </c>
      <c r="H91" s="11" t="s">
        <v>2</v>
      </c>
      <c r="I91" s="16">
        <v>170000</v>
      </c>
      <c r="J91" s="25">
        <f t="shared" si="16"/>
        <v>1.0670941176470587</v>
      </c>
      <c r="K91" s="16">
        <v>183799</v>
      </c>
    </row>
    <row r="92" spans="1:11" x14ac:dyDescent="0.2">
      <c r="A92" s="14" t="s">
        <v>167</v>
      </c>
      <c r="B92" s="9" t="s">
        <v>185</v>
      </c>
      <c r="C92" s="16">
        <v>0</v>
      </c>
      <c r="D92" s="11" t="s">
        <v>2</v>
      </c>
      <c r="E92" s="16">
        <v>1357</v>
      </c>
      <c r="F92" s="16">
        <v>1200</v>
      </c>
      <c r="G92" s="25">
        <f t="shared" si="15"/>
        <v>1.1308333333333334</v>
      </c>
      <c r="H92" s="11" t="s">
        <v>2</v>
      </c>
      <c r="I92" s="16">
        <v>1200</v>
      </c>
      <c r="J92" s="25">
        <f t="shared" si="16"/>
        <v>1.1308333333333334</v>
      </c>
      <c r="K92" s="16">
        <v>0</v>
      </c>
    </row>
    <row r="93" spans="1:11" x14ac:dyDescent="0.2">
      <c r="A93" s="14" t="s">
        <v>98</v>
      </c>
      <c r="B93" s="9" t="s">
        <v>186</v>
      </c>
      <c r="C93" s="16">
        <v>0</v>
      </c>
      <c r="D93" s="11" t="s">
        <v>2</v>
      </c>
      <c r="E93" s="16">
        <v>100</v>
      </c>
      <c r="F93" s="16">
        <v>2200</v>
      </c>
      <c r="G93" s="25">
        <f t="shared" si="15"/>
        <v>4.5454545454545456E-2</v>
      </c>
      <c r="H93" s="11" t="s">
        <v>2</v>
      </c>
      <c r="I93" s="16">
        <v>2200</v>
      </c>
      <c r="J93" s="25">
        <f t="shared" si="16"/>
        <v>4.5454545454545456E-2</v>
      </c>
      <c r="K93" s="16">
        <v>1933</v>
      </c>
    </row>
    <row r="94" spans="1:11" x14ac:dyDescent="0.2">
      <c r="A94" s="14" t="s">
        <v>143</v>
      </c>
      <c r="B94" s="9" t="s">
        <v>187</v>
      </c>
      <c r="C94" s="16">
        <v>0</v>
      </c>
      <c r="D94" s="11" t="s">
        <v>2</v>
      </c>
      <c r="E94" s="16">
        <v>508</v>
      </c>
      <c r="F94" s="16">
        <v>0</v>
      </c>
      <c r="G94" s="25">
        <v>0</v>
      </c>
      <c r="H94" s="11" t="s">
        <v>2</v>
      </c>
      <c r="I94" s="16">
        <v>0</v>
      </c>
      <c r="J94" s="25">
        <v>0</v>
      </c>
      <c r="K94" s="16">
        <v>0</v>
      </c>
    </row>
    <row r="95" spans="1:11" x14ac:dyDescent="0.2">
      <c r="A95" s="14" t="s">
        <v>100</v>
      </c>
      <c r="B95" s="9" t="s">
        <v>188</v>
      </c>
      <c r="C95" s="16">
        <v>0</v>
      </c>
      <c r="D95" s="11" t="s">
        <v>2</v>
      </c>
      <c r="E95" s="16">
        <v>213</v>
      </c>
      <c r="F95" s="16">
        <v>0</v>
      </c>
      <c r="G95" s="25">
        <v>0</v>
      </c>
      <c r="H95" s="11" t="s">
        <v>2</v>
      </c>
      <c r="I95" s="16">
        <v>0</v>
      </c>
      <c r="J95" s="25">
        <v>0</v>
      </c>
      <c r="K95" s="16">
        <v>189</v>
      </c>
    </row>
    <row r="96" spans="1:11" x14ac:dyDescent="0.2">
      <c r="A96" s="14" t="s">
        <v>146</v>
      </c>
      <c r="B96" s="9" t="s">
        <v>189</v>
      </c>
      <c r="C96" s="16">
        <v>0</v>
      </c>
      <c r="D96" s="11" t="s">
        <v>2</v>
      </c>
      <c r="E96" s="16">
        <v>75</v>
      </c>
      <c r="F96" s="16">
        <v>700</v>
      </c>
      <c r="G96" s="25">
        <f t="shared" si="15"/>
        <v>0.10714285714285714</v>
      </c>
      <c r="H96" s="11" t="s">
        <v>2</v>
      </c>
      <c r="I96" s="16">
        <v>700</v>
      </c>
      <c r="J96" s="25">
        <f t="shared" si="16"/>
        <v>0.10714285714285714</v>
      </c>
      <c r="K96" s="16">
        <v>507</v>
      </c>
    </row>
    <row r="97" spans="1:11" x14ac:dyDescent="0.2">
      <c r="A97" s="14" t="s">
        <v>190</v>
      </c>
      <c r="B97" s="9" t="s">
        <v>191</v>
      </c>
      <c r="C97" s="16">
        <v>0</v>
      </c>
      <c r="D97" s="11" t="s">
        <v>2</v>
      </c>
      <c r="E97" s="16">
        <v>2491</v>
      </c>
      <c r="F97" s="16">
        <v>0</v>
      </c>
      <c r="G97" s="25">
        <v>0</v>
      </c>
      <c r="H97" s="11" t="s">
        <v>2</v>
      </c>
      <c r="I97" s="16">
        <v>0</v>
      </c>
      <c r="J97" s="25">
        <v>0</v>
      </c>
      <c r="K97" s="16">
        <v>1256</v>
      </c>
    </row>
    <row r="98" spans="1:11" x14ac:dyDescent="0.2">
      <c r="A98" s="14" t="s">
        <v>192</v>
      </c>
      <c r="B98" s="9" t="s">
        <v>193</v>
      </c>
      <c r="C98" s="16">
        <v>0</v>
      </c>
      <c r="D98" s="11" t="s">
        <v>2</v>
      </c>
      <c r="E98" s="16">
        <v>1156</v>
      </c>
      <c r="F98" s="16">
        <v>0</v>
      </c>
      <c r="G98" s="25">
        <v>0</v>
      </c>
      <c r="H98" s="11" t="s">
        <v>2</v>
      </c>
      <c r="I98" s="16">
        <v>0</v>
      </c>
      <c r="J98" s="25">
        <v>0</v>
      </c>
      <c r="K98" s="16">
        <v>920</v>
      </c>
    </row>
    <row r="99" spans="1:11" x14ac:dyDescent="0.2">
      <c r="A99" s="14" t="s">
        <v>170</v>
      </c>
      <c r="B99" s="9" t="s">
        <v>194</v>
      </c>
      <c r="C99" s="16">
        <v>0</v>
      </c>
      <c r="D99" s="11" t="s">
        <v>2</v>
      </c>
      <c r="E99" s="16">
        <v>1043</v>
      </c>
      <c r="F99" s="16">
        <v>1000</v>
      </c>
      <c r="G99" s="25">
        <f t="shared" si="15"/>
        <v>1.0429999999999999</v>
      </c>
      <c r="H99" s="11" t="s">
        <v>2</v>
      </c>
      <c r="I99" s="16">
        <v>1000</v>
      </c>
      <c r="J99" s="25">
        <f t="shared" si="16"/>
        <v>1.0429999999999999</v>
      </c>
      <c r="K99" s="16">
        <v>0</v>
      </c>
    </row>
    <row r="100" spans="1:11" x14ac:dyDescent="0.2">
      <c r="A100" s="14" t="s">
        <v>148</v>
      </c>
      <c r="B100" s="9" t="s">
        <v>195</v>
      </c>
      <c r="C100" s="16">
        <v>0</v>
      </c>
      <c r="D100" s="11" t="s">
        <v>2</v>
      </c>
      <c r="E100" s="16">
        <v>17446</v>
      </c>
      <c r="F100" s="16">
        <v>22000</v>
      </c>
      <c r="G100" s="25">
        <f t="shared" si="15"/>
        <v>0.79300000000000004</v>
      </c>
      <c r="H100" s="11" t="s">
        <v>2</v>
      </c>
      <c r="I100" s="16">
        <v>22000</v>
      </c>
      <c r="J100" s="25">
        <f t="shared" si="16"/>
        <v>0.79300000000000004</v>
      </c>
      <c r="K100" s="16">
        <v>9841</v>
      </c>
    </row>
    <row r="101" spans="1:11" x14ac:dyDescent="0.2">
      <c r="A101" s="14" t="s">
        <v>102</v>
      </c>
      <c r="B101" s="9" t="s">
        <v>196</v>
      </c>
      <c r="C101" s="16">
        <v>0</v>
      </c>
      <c r="D101" s="68"/>
      <c r="E101" s="16">
        <v>7356</v>
      </c>
      <c r="F101" s="16">
        <v>8000</v>
      </c>
      <c r="G101" s="25">
        <f t="shared" si="15"/>
        <v>0.91949999999999998</v>
      </c>
      <c r="H101" s="11" t="s">
        <v>2</v>
      </c>
      <c r="I101" s="16">
        <v>8000</v>
      </c>
      <c r="J101" s="25">
        <f t="shared" si="16"/>
        <v>0.91949999999999998</v>
      </c>
      <c r="K101" s="16">
        <v>4163</v>
      </c>
    </row>
    <row r="102" spans="1:11" x14ac:dyDescent="0.2">
      <c r="A102" s="14" t="s">
        <v>197</v>
      </c>
      <c r="B102" s="9" t="s">
        <v>198</v>
      </c>
      <c r="C102" s="16">
        <v>0</v>
      </c>
      <c r="D102" s="11" t="s">
        <v>2</v>
      </c>
      <c r="E102" s="16">
        <v>160</v>
      </c>
      <c r="F102" s="16">
        <v>500</v>
      </c>
      <c r="G102" s="25">
        <f t="shared" si="15"/>
        <v>0.32</v>
      </c>
      <c r="H102" s="11" t="s">
        <v>2</v>
      </c>
      <c r="I102" s="16">
        <v>500</v>
      </c>
      <c r="J102" s="25">
        <f t="shared" si="16"/>
        <v>0.32</v>
      </c>
      <c r="K102" s="16">
        <v>79</v>
      </c>
    </row>
    <row r="103" spans="1:11" x14ac:dyDescent="0.2">
      <c r="A103" s="9"/>
      <c r="B103" s="9"/>
      <c r="C103" s="19"/>
      <c r="D103" s="11" t="s">
        <v>2</v>
      </c>
      <c r="E103" s="19"/>
      <c r="F103" s="19"/>
      <c r="G103" s="19"/>
      <c r="H103" s="11" t="s">
        <v>2</v>
      </c>
      <c r="I103" s="19"/>
      <c r="J103" s="19"/>
      <c r="K103" s="19"/>
    </row>
    <row r="104" spans="1:11" x14ac:dyDescent="0.2">
      <c r="A104" s="12" t="s">
        <v>199</v>
      </c>
      <c r="B104" s="12"/>
      <c r="C104" s="18">
        <f>SUM(C85:C103)</f>
        <v>0</v>
      </c>
      <c r="D104" s="1" t="s">
        <v>2</v>
      </c>
      <c r="E104" s="18">
        <f t="shared" ref="E104:F104" si="17">SUM(E85:E103)</f>
        <v>236391</v>
      </c>
      <c r="F104" s="18">
        <f t="shared" si="17"/>
        <v>225950</v>
      </c>
      <c r="G104" s="35">
        <f>+E104/F104</f>
        <v>1.0462093383491924</v>
      </c>
      <c r="H104" s="1" t="s">
        <v>2</v>
      </c>
      <c r="I104" s="18">
        <f t="shared" ref="I104:K104" si="18">SUM(I85:I103)</f>
        <v>225950</v>
      </c>
      <c r="J104" s="35">
        <f>+E104/I104</f>
        <v>1.0462093383491924</v>
      </c>
      <c r="K104" s="18">
        <f t="shared" si="18"/>
        <v>229420</v>
      </c>
    </row>
    <row r="105" spans="1:11" x14ac:dyDescent="0.2">
      <c r="A105" s="9"/>
      <c r="B105" s="9"/>
      <c r="C105" s="10"/>
      <c r="D105" s="11" t="s">
        <v>2</v>
      </c>
      <c r="E105" s="10"/>
      <c r="F105" s="10"/>
      <c r="G105" s="10"/>
      <c r="H105" s="11" t="s">
        <v>2</v>
      </c>
      <c r="I105" s="10"/>
      <c r="J105" s="10"/>
      <c r="K105" s="10"/>
    </row>
    <row r="106" spans="1:11" x14ac:dyDescent="0.2">
      <c r="A106" s="9"/>
      <c r="B106" s="9"/>
      <c r="C106" s="10"/>
      <c r="D106" s="11" t="s">
        <v>2</v>
      </c>
      <c r="E106" s="10"/>
      <c r="F106" s="10"/>
      <c r="G106" s="10"/>
      <c r="H106" s="11" t="s">
        <v>2</v>
      </c>
      <c r="I106" s="10"/>
      <c r="J106" s="10"/>
      <c r="K106" s="10"/>
    </row>
    <row r="107" spans="1:11" x14ac:dyDescent="0.2">
      <c r="A107" s="12" t="s">
        <v>131</v>
      </c>
      <c r="B107" s="12"/>
      <c r="C107" s="13"/>
      <c r="D107" s="1" t="s">
        <v>2</v>
      </c>
      <c r="E107" s="13"/>
      <c r="F107" s="13"/>
      <c r="G107" s="13"/>
      <c r="H107" s="1" t="s">
        <v>2</v>
      </c>
      <c r="I107" s="13"/>
      <c r="J107" s="13"/>
      <c r="K107" s="13"/>
    </row>
    <row r="108" spans="1:11" x14ac:dyDescent="0.2">
      <c r="A108" s="14" t="s">
        <v>148</v>
      </c>
      <c r="B108" s="9" t="s">
        <v>200</v>
      </c>
      <c r="C108" s="16">
        <v>0</v>
      </c>
      <c r="D108" s="11" t="s">
        <v>2</v>
      </c>
      <c r="E108" s="16">
        <v>0</v>
      </c>
      <c r="F108" s="16">
        <v>5000</v>
      </c>
      <c r="G108" s="25">
        <v>0</v>
      </c>
      <c r="H108" s="11" t="s">
        <v>2</v>
      </c>
      <c r="I108" s="16">
        <v>5000</v>
      </c>
      <c r="J108" s="25">
        <v>0</v>
      </c>
      <c r="K108" s="16">
        <v>7182</v>
      </c>
    </row>
    <row r="109" spans="1:11" x14ac:dyDescent="0.2">
      <c r="A109" s="14" t="s">
        <v>102</v>
      </c>
      <c r="B109" s="9" t="s">
        <v>201</v>
      </c>
      <c r="C109" s="16">
        <v>0</v>
      </c>
      <c r="D109" s="11" t="s">
        <v>2</v>
      </c>
      <c r="E109" s="16">
        <v>904</v>
      </c>
      <c r="F109" s="16">
        <v>0</v>
      </c>
      <c r="G109" s="25">
        <v>0</v>
      </c>
      <c r="H109" s="11" t="s">
        <v>2</v>
      </c>
      <c r="I109" s="16">
        <v>0</v>
      </c>
      <c r="J109" s="25">
        <v>0</v>
      </c>
      <c r="K109" s="16">
        <v>0</v>
      </c>
    </row>
    <row r="110" spans="1:11" x14ac:dyDescent="0.2">
      <c r="A110" s="9"/>
      <c r="B110" s="9"/>
      <c r="C110" s="19"/>
      <c r="D110" s="11" t="s">
        <v>2</v>
      </c>
      <c r="E110" s="19"/>
      <c r="F110" s="19"/>
      <c r="G110" s="19"/>
      <c r="H110" s="11" t="s">
        <v>2</v>
      </c>
      <c r="I110" s="19"/>
      <c r="J110" s="19"/>
      <c r="K110" s="19"/>
    </row>
    <row r="111" spans="1:11" x14ac:dyDescent="0.2">
      <c r="A111" s="12" t="s">
        <v>202</v>
      </c>
      <c r="B111" s="12"/>
      <c r="C111" s="18">
        <f>SUM(C108:C110)</f>
        <v>0</v>
      </c>
      <c r="D111" s="1" t="s">
        <v>2</v>
      </c>
      <c r="E111" s="18">
        <f t="shared" ref="E111:F111" si="19">SUM(E108:E110)</f>
        <v>904</v>
      </c>
      <c r="F111" s="18">
        <f t="shared" si="19"/>
        <v>5000</v>
      </c>
      <c r="G111" s="35">
        <f>+E111/F111</f>
        <v>0.18079999999999999</v>
      </c>
      <c r="H111" s="1" t="s">
        <v>2</v>
      </c>
      <c r="I111" s="18">
        <f t="shared" ref="I111:K111" si="20">SUM(I108:I110)</f>
        <v>5000</v>
      </c>
      <c r="J111" s="35">
        <f>+E111/I111</f>
        <v>0.18079999999999999</v>
      </c>
      <c r="K111" s="18">
        <f t="shared" si="20"/>
        <v>7182</v>
      </c>
    </row>
    <row r="112" spans="1:11" x14ac:dyDescent="0.2">
      <c r="A112" s="9"/>
      <c r="B112" s="9"/>
      <c r="C112" s="19"/>
      <c r="D112" s="11" t="s">
        <v>2</v>
      </c>
      <c r="E112" s="19"/>
      <c r="F112" s="19"/>
      <c r="G112" s="19"/>
      <c r="H112" s="11" t="s">
        <v>2</v>
      </c>
      <c r="I112" s="19"/>
      <c r="J112" s="19"/>
      <c r="K112" s="19"/>
    </row>
    <row r="113" spans="1:11" x14ac:dyDescent="0.2">
      <c r="A113" s="22" t="s">
        <v>59</v>
      </c>
      <c r="B113" s="22"/>
      <c r="C113" s="27">
        <f>+C111+C104+C81+C63</f>
        <v>0</v>
      </c>
      <c r="D113" s="24" t="s">
        <v>2</v>
      </c>
      <c r="E113" s="27">
        <f t="shared" ref="E113:F113" si="21">+E111+E104+E81+E63</f>
        <v>301557</v>
      </c>
      <c r="F113" s="27">
        <f t="shared" si="21"/>
        <v>325900</v>
      </c>
      <c r="G113" s="28">
        <f>+E113/F113%</f>
        <v>92.530530837680274</v>
      </c>
      <c r="H113" s="24" t="s">
        <v>2</v>
      </c>
      <c r="I113" s="27">
        <f t="shared" ref="I113:K113" si="22">+I111+I104+I81+I63</f>
        <v>325900</v>
      </c>
      <c r="J113" s="28">
        <f>+E113/I113</f>
        <v>0.92530530837680269</v>
      </c>
      <c r="K113" s="27">
        <f t="shared" si="22"/>
        <v>279572</v>
      </c>
    </row>
    <row r="114" spans="1:11" x14ac:dyDescent="0.2">
      <c r="A114" s="9"/>
      <c r="B114" s="9"/>
      <c r="C114" s="10"/>
      <c r="D114" s="11" t="s">
        <v>2</v>
      </c>
      <c r="E114" s="10"/>
      <c r="F114" s="10"/>
      <c r="G114" s="10"/>
      <c r="H114" s="11" t="s">
        <v>2</v>
      </c>
      <c r="I114" s="10"/>
      <c r="J114" s="10"/>
      <c r="K114" s="10"/>
    </row>
    <row r="115" spans="1:11" x14ac:dyDescent="0.2">
      <c r="A115" s="9"/>
      <c r="B115" s="9"/>
      <c r="C115" s="79"/>
      <c r="D115" s="11" t="s">
        <v>2</v>
      </c>
      <c r="E115" s="19"/>
      <c r="F115" s="19"/>
      <c r="G115" s="19"/>
      <c r="H115" s="11" t="s">
        <v>2</v>
      </c>
      <c r="I115" s="19"/>
      <c r="J115" s="19"/>
      <c r="K115" s="19"/>
    </row>
    <row r="116" spans="1:11" x14ac:dyDescent="0.2">
      <c r="A116" s="30" t="s">
        <v>203</v>
      </c>
      <c r="B116" s="30"/>
      <c r="C116" s="31">
        <f>+C44-C113</f>
        <v>0</v>
      </c>
      <c r="D116" s="32" t="s">
        <v>2</v>
      </c>
      <c r="E116" s="31">
        <f t="shared" ref="E116:F116" si="23">+E44-E113</f>
        <v>105221</v>
      </c>
      <c r="F116" s="31">
        <f t="shared" si="23"/>
        <v>123950</v>
      </c>
      <c r="G116" s="33">
        <f>+E116/F116</f>
        <v>0.84889874949576438</v>
      </c>
      <c r="H116" s="32" t="s">
        <v>2</v>
      </c>
      <c r="I116" s="31">
        <f t="shared" ref="I116:K116" si="24">+I44-I113</f>
        <v>123950</v>
      </c>
      <c r="J116" s="33">
        <f>+E116/I116</f>
        <v>0.84889874949576438</v>
      </c>
      <c r="K116" s="31">
        <f t="shared" si="24"/>
        <v>167292</v>
      </c>
    </row>
    <row r="117" spans="1:11" x14ac:dyDescent="0.2">
      <c r="A117" s="9"/>
      <c r="B117" s="9"/>
      <c r="C117" s="29"/>
      <c r="D117" s="11" t="s">
        <v>2</v>
      </c>
      <c r="E117" s="29"/>
      <c r="F117" s="29"/>
      <c r="G117" s="29"/>
      <c r="H117" s="11" t="s">
        <v>2</v>
      </c>
      <c r="I117" s="29"/>
      <c r="J117" s="29"/>
      <c r="K117" s="29"/>
    </row>
  </sheetData>
  <mergeCells count="6">
    <mergeCell ref="E5:G5"/>
    <mergeCell ref="I5:K5"/>
    <mergeCell ref="A1:K1"/>
    <mergeCell ref="A2:K2"/>
    <mergeCell ref="A3:K3"/>
    <mergeCell ref="A4:K4"/>
  </mergeCells>
  <printOptions horizontalCentered="1"/>
  <pageMargins left="0.75" right="0.75" top="0.75" bottom="0.75" header="0.03" footer="0.03"/>
  <pageSetup scale="47" pageOrder="overThenDown" orientation="portrait" r:id="rId1"/>
  <headerFooter>
    <oddHeader>&amp;C&amp;"Arial,Bold Italic"&amp;12&amp;K000000
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6"/>
  <sheetViews>
    <sheetView workbookViewId="0">
      <pane ySplit="7" topLeftCell="A8" activePane="bottomLeft" state="frozen"/>
      <selection pane="bottomLeft" activeCell="A7" sqref="A7"/>
    </sheetView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ht="15.75" x14ac:dyDescent="0.25">
      <c r="A1" s="85" t="s">
        <v>502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 x14ac:dyDescent="0.25">
      <c r="A2" s="85" t="s">
        <v>47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 x14ac:dyDescent="0.25">
      <c r="A3" s="85" t="s">
        <v>506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 x14ac:dyDescent="0.25">
      <c r="A4" s="85" t="s">
        <v>480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x14ac:dyDescent="0.2">
      <c r="C5" s="76">
        <v>43435</v>
      </c>
      <c r="E5" s="86" t="s">
        <v>37</v>
      </c>
      <c r="F5" s="86"/>
      <c r="G5" s="86"/>
      <c r="I5" s="86" t="s">
        <v>40</v>
      </c>
      <c r="J5" s="86"/>
      <c r="K5" s="86"/>
    </row>
    <row r="6" spans="1:11" x14ac:dyDescent="0.2">
      <c r="G6" s="1" t="s">
        <v>36</v>
      </c>
      <c r="J6" s="1" t="s">
        <v>36</v>
      </c>
      <c r="K6" s="1" t="s">
        <v>41</v>
      </c>
    </row>
    <row r="7" spans="1:11" x14ac:dyDescent="0.2">
      <c r="C7" s="2" t="s">
        <v>36</v>
      </c>
      <c r="E7" s="2" t="s">
        <v>36</v>
      </c>
      <c r="F7" s="2" t="s">
        <v>38</v>
      </c>
      <c r="G7" s="2" t="s">
        <v>39</v>
      </c>
      <c r="I7" s="2" t="s">
        <v>38</v>
      </c>
      <c r="J7" s="2" t="s">
        <v>39</v>
      </c>
      <c r="K7" s="2" t="s">
        <v>36</v>
      </c>
    </row>
    <row r="8" spans="1:11" x14ac:dyDescent="0.2">
      <c r="A8" s="9"/>
      <c r="B8" s="9"/>
      <c r="C8" s="10"/>
      <c r="D8" s="11" t="s">
        <v>2</v>
      </c>
      <c r="E8" s="10"/>
      <c r="F8" s="10"/>
      <c r="G8" s="10"/>
      <c r="H8" s="11" t="s">
        <v>2</v>
      </c>
      <c r="I8" s="10"/>
      <c r="J8" s="10"/>
      <c r="K8" s="10"/>
    </row>
    <row r="9" spans="1:11" x14ac:dyDescent="0.2">
      <c r="A9" s="9"/>
      <c r="B9" s="9"/>
      <c r="C9" s="10"/>
      <c r="D9" s="11" t="s">
        <v>2</v>
      </c>
      <c r="E9" s="10"/>
      <c r="F9" s="10"/>
      <c r="G9" s="10"/>
      <c r="H9" s="11" t="s">
        <v>2</v>
      </c>
      <c r="I9" s="10"/>
      <c r="J9" s="10"/>
      <c r="K9" s="10"/>
    </row>
    <row r="10" spans="1:11" x14ac:dyDescent="0.2">
      <c r="A10" s="22" t="s">
        <v>62</v>
      </c>
      <c r="B10" s="22"/>
      <c r="C10" s="23"/>
      <c r="D10" s="24" t="s">
        <v>2</v>
      </c>
      <c r="E10" s="23"/>
      <c r="F10" s="23"/>
      <c r="G10" s="23"/>
      <c r="H10" s="24" t="s">
        <v>2</v>
      </c>
      <c r="I10" s="23"/>
      <c r="J10" s="23"/>
      <c r="K10" s="23"/>
    </row>
    <row r="11" spans="1:11" x14ac:dyDescent="0.2">
      <c r="A11" s="9"/>
      <c r="B11" s="9"/>
      <c r="C11" s="10"/>
      <c r="D11" s="11" t="s">
        <v>2</v>
      </c>
      <c r="E11" s="10"/>
      <c r="F11" s="10"/>
      <c r="G11" s="10"/>
      <c r="H11" s="11" t="s">
        <v>2</v>
      </c>
      <c r="I11" s="10"/>
      <c r="J11" s="10"/>
      <c r="K11" s="10"/>
    </row>
    <row r="12" spans="1:11" x14ac:dyDescent="0.2">
      <c r="A12" s="9" t="s">
        <v>204</v>
      </c>
      <c r="B12" s="9" t="s">
        <v>205</v>
      </c>
      <c r="C12" s="15">
        <v>550</v>
      </c>
      <c r="D12" s="11" t="s">
        <v>2</v>
      </c>
      <c r="E12" s="15">
        <f>550+52250</f>
        <v>52800</v>
      </c>
      <c r="F12" s="15">
        <v>44550</v>
      </c>
      <c r="G12" s="25">
        <f>+E12/F12</f>
        <v>1.1851851851851851</v>
      </c>
      <c r="H12" s="11" t="s">
        <v>2</v>
      </c>
      <c r="I12" s="15">
        <v>44550</v>
      </c>
      <c r="J12" s="25">
        <f>+E12/I12</f>
        <v>1.1851851851851851</v>
      </c>
      <c r="K12" s="15">
        <v>40130</v>
      </c>
    </row>
    <row r="13" spans="1:11" x14ac:dyDescent="0.2">
      <c r="A13" s="9" t="s">
        <v>206</v>
      </c>
      <c r="B13" s="9" t="s">
        <v>207</v>
      </c>
      <c r="C13" s="16">
        <v>0</v>
      </c>
      <c r="D13" s="11" t="s">
        <v>2</v>
      </c>
      <c r="E13" s="16">
        <v>0</v>
      </c>
      <c r="F13" s="16">
        <v>2800</v>
      </c>
      <c r="G13" s="25">
        <v>0</v>
      </c>
      <c r="H13" s="11" t="s">
        <v>2</v>
      </c>
      <c r="I13" s="16">
        <v>2800</v>
      </c>
      <c r="J13" s="25">
        <v>0</v>
      </c>
      <c r="K13" s="16">
        <v>7000</v>
      </c>
    </row>
    <row r="14" spans="1:11" x14ac:dyDescent="0.2">
      <c r="A14" s="9" t="s">
        <v>114</v>
      </c>
      <c r="B14" s="9" t="s">
        <v>208</v>
      </c>
      <c r="C14" s="16">
        <v>0</v>
      </c>
      <c r="D14" s="11" t="s">
        <v>2</v>
      </c>
      <c r="E14" s="16">
        <v>200</v>
      </c>
      <c r="F14" s="16">
        <v>200</v>
      </c>
      <c r="G14" s="25">
        <f>+E14/F14</f>
        <v>1</v>
      </c>
      <c r="H14" s="11" t="s">
        <v>2</v>
      </c>
      <c r="I14" s="16">
        <v>200</v>
      </c>
      <c r="J14" s="25">
        <f>+E14/I14</f>
        <v>1</v>
      </c>
      <c r="K14" s="16">
        <v>0</v>
      </c>
    </row>
    <row r="15" spans="1:11" x14ac:dyDescent="0.2">
      <c r="A15" s="9"/>
      <c r="B15" s="9"/>
      <c r="C15" s="19"/>
      <c r="D15" s="11" t="s">
        <v>2</v>
      </c>
      <c r="E15" s="19"/>
      <c r="F15" s="19"/>
      <c r="G15" s="19"/>
      <c r="H15" s="11" t="s">
        <v>2</v>
      </c>
      <c r="I15" s="19"/>
      <c r="J15" s="19"/>
      <c r="K15" s="19"/>
    </row>
    <row r="16" spans="1:11" x14ac:dyDescent="0.2">
      <c r="A16" s="22" t="s">
        <v>51</v>
      </c>
      <c r="B16" s="22"/>
      <c r="C16" s="27">
        <f>SUM(C12:C15)</f>
        <v>550</v>
      </c>
      <c r="D16" s="24" t="s">
        <v>2</v>
      </c>
      <c r="E16" s="27">
        <f t="shared" ref="E16:F16" si="0">SUM(E12:E15)</f>
        <v>53000</v>
      </c>
      <c r="F16" s="27">
        <f t="shared" si="0"/>
        <v>47550</v>
      </c>
      <c r="G16" s="28">
        <f>+E16/F16</f>
        <v>1.1146161934805467</v>
      </c>
      <c r="H16" s="24" t="s">
        <v>2</v>
      </c>
      <c r="I16" s="27">
        <f t="shared" ref="I16:K16" si="1">SUM(I12:I15)</f>
        <v>47550</v>
      </c>
      <c r="J16" s="28">
        <f>+E16/I16</f>
        <v>1.1146161934805467</v>
      </c>
      <c r="K16" s="27">
        <f t="shared" si="1"/>
        <v>47130</v>
      </c>
    </row>
    <row r="17" spans="1:11" x14ac:dyDescent="0.2">
      <c r="A17" s="9"/>
      <c r="B17" s="9"/>
      <c r="C17" s="10"/>
      <c r="D17" s="11" t="s">
        <v>2</v>
      </c>
      <c r="E17" s="10"/>
      <c r="F17" s="10"/>
      <c r="G17" s="10"/>
      <c r="H17" s="11" t="s">
        <v>2</v>
      </c>
      <c r="I17" s="10"/>
      <c r="J17" s="10"/>
      <c r="K17" s="10"/>
    </row>
    <row r="18" spans="1:11" x14ac:dyDescent="0.2">
      <c r="A18" s="9"/>
      <c r="B18" s="9"/>
      <c r="C18" s="10"/>
      <c r="D18" s="11" t="s">
        <v>2</v>
      </c>
      <c r="E18" s="10"/>
      <c r="F18" s="10"/>
      <c r="G18" s="10"/>
      <c r="H18" s="11" t="s">
        <v>2</v>
      </c>
      <c r="I18" s="10"/>
      <c r="J18" s="10"/>
      <c r="K18" s="10"/>
    </row>
    <row r="19" spans="1:11" x14ac:dyDescent="0.2">
      <c r="A19" s="22" t="s">
        <v>64</v>
      </c>
      <c r="B19" s="22"/>
      <c r="C19" s="23"/>
      <c r="D19" s="24" t="s">
        <v>2</v>
      </c>
      <c r="E19" s="23"/>
      <c r="F19" s="23"/>
      <c r="G19" s="23"/>
      <c r="H19" s="24" t="s">
        <v>2</v>
      </c>
      <c r="I19" s="23"/>
      <c r="J19" s="23"/>
      <c r="K19" s="23"/>
    </row>
    <row r="20" spans="1:11" x14ac:dyDescent="0.2">
      <c r="A20" s="9"/>
      <c r="B20" s="9"/>
      <c r="C20" s="10"/>
      <c r="D20" s="11" t="s">
        <v>2</v>
      </c>
      <c r="E20" s="10"/>
      <c r="F20" s="10"/>
      <c r="G20" s="10"/>
      <c r="H20" s="11" t="s">
        <v>2</v>
      </c>
      <c r="I20" s="10"/>
      <c r="J20" s="10"/>
      <c r="K20" s="10"/>
    </row>
    <row r="21" spans="1:11" x14ac:dyDescent="0.2">
      <c r="A21" s="12" t="s">
        <v>209</v>
      </c>
      <c r="B21" s="12"/>
      <c r="C21" s="13"/>
      <c r="D21" s="1" t="s">
        <v>2</v>
      </c>
      <c r="E21" s="13"/>
      <c r="F21" s="13"/>
      <c r="G21" s="25"/>
      <c r="H21" s="1" t="s">
        <v>2</v>
      </c>
      <c r="I21" s="13"/>
      <c r="J21" s="13"/>
      <c r="K21" s="13"/>
    </row>
    <row r="22" spans="1:11" x14ac:dyDescent="0.2">
      <c r="A22" s="14" t="s">
        <v>210</v>
      </c>
      <c r="B22" s="9" t="s">
        <v>211</v>
      </c>
      <c r="C22" s="16">
        <v>0</v>
      </c>
      <c r="D22" s="11" t="s">
        <v>2</v>
      </c>
      <c r="E22" s="16">
        <v>713</v>
      </c>
      <c r="F22" s="16">
        <v>0</v>
      </c>
      <c r="G22" s="25">
        <v>0</v>
      </c>
      <c r="H22" s="11" t="s">
        <v>2</v>
      </c>
      <c r="I22" s="16">
        <v>0</v>
      </c>
      <c r="J22" s="25">
        <v>0</v>
      </c>
      <c r="K22" s="16">
        <v>5375</v>
      </c>
    </row>
    <row r="23" spans="1:11" x14ac:dyDescent="0.2">
      <c r="A23" s="14" t="s">
        <v>212</v>
      </c>
      <c r="B23" s="9" t="s">
        <v>213</v>
      </c>
      <c r="C23" s="16">
        <v>0</v>
      </c>
      <c r="D23" s="11" t="s">
        <v>2</v>
      </c>
      <c r="E23" s="16">
        <v>170</v>
      </c>
      <c r="F23" s="16">
        <v>50</v>
      </c>
      <c r="G23" s="25">
        <f t="shared" ref="G23:G29" si="2">+E23/F23</f>
        <v>3.4</v>
      </c>
      <c r="H23" s="11" t="s">
        <v>2</v>
      </c>
      <c r="I23" s="16">
        <v>50</v>
      </c>
      <c r="J23" s="25">
        <f t="shared" ref="J23:J29" si="3">+E23/I23</f>
        <v>3.4</v>
      </c>
      <c r="K23" s="16">
        <v>1226</v>
      </c>
    </row>
    <row r="24" spans="1:11" x14ac:dyDescent="0.2">
      <c r="A24" s="14" t="s">
        <v>57</v>
      </c>
      <c r="B24" s="9" t="s">
        <v>214</v>
      </c>
      <c r="C24" s="16">
        <v>0</v>
      </c>
      <c r="D24" s="11" t="s">
        <v>2</v>
      </c>
      <c r="E24" s="16">
        <v>0</v>
      </c>
      <c r="F24" s="16">
        <v>1000</v>
      </c>
      <c r="G24" s="25">
        <f t="shared" si="2"/>
        <v>0</v>
      </c>
      <c r="H24" s="11" t="s">
        <v>2</v>
      </c>
      <c r="I24" s="16">
        <v>1000</v>
      </c>
      <c r="J24" s="25">
        <f t="shared" si="3"/>
        <v>0</v>
      </c>
      <c r="K24" s="16">
        <v>1500</v>
      </c>
    </row>
    <row r="25" spans="1:11" x14ac:dyDescent="0.2">
      <c r="A25" s="14" t="s">
        <v>100</v>
      </c>
      <c r="B25" s="9" t="s">
        <v>215</v>
      </c>
      <c r="C25" s="16">
        <v>0</v>
      </c>
      <c r="D25" s="11" t="s">
        <v>2</v>
      </c>
      <c r="E25" s="16">
        <v>41</v>
      </c>
      <c r="F25" s="16">
        <v>50</v>
      </c>
      <c r="G25" s="25">
        <f t="shared" si="2"/>
        <v>0.82</v>
      </c>
      <c r="H25" s="11" t="s">
        <v>2</v>
      </c>
      <c r="I25" s="16">
        <v>50</v>
      </c>
      <c r="J25" s="25">
        <f t="shared" si="3"/>
        <v>0.82</v>
      </c>
      <c r="K25" s="16">
        <v>44</v>
      </c>
    </row>
    <row r="26" spans="1:11" x14ac:dyDescent="0.2">
      <c r="A26" s="14" t="s">
        <v>146</v>
      </c>
      <c r="B26" s="9" t="s">
        <v>216</v>
      </c>
      <c r="C26" s="16">
        <v>159</v>
      </c>
      <c r="D26" s="11" t="s">
        <v>2</v>
      </c>
      <c r="E26" s="16">
        <f>159+15</f>
        <v>174</v>
      </c>
      <c r="F26" s="16">
        <v>1000</v>
      </c>
      <c r="G26" s="25">
        <f t="shared" si="2"/>
        <v>0.17399999999999999</v>
      </c>
      <c r="H26" s="11" t="s">
        <v>2</v>
      </c>
      <c r="I26" s="16">
        <v>1000</v>
      </c>
      <c r="J26" s="25">
        <f t="shared" si="3"/>
        <v>0.17399999999999999</v>
      </c>
      <c r="K26" s="16">
        <v>1513</v>
      </c>
    </row>
    <row r="27" spans="1:11" x14ac:dyDescent="0.2">
      <c r="A27" s="14" t="s">
        <v>217</v>
      </c>
      <c r="B27" s="9" t="s">
        <v>218</v>
      </c>
      <c r="C27" s="16">
        <v>0</v>
      </c>
      <c r="D27" s="11" t="s">
        <v>2</v>
      </c>
      <c r="E27" s="16">
        <v>0</v>
      </c>
      <c r="F27" s="16">
        <v>0</v>
      </c>
      <c r="G27" s="25">
        <v>0</v>
      </c>
      <c r="H27" s="11" t="s">
        <v>2</v>
      </c>
      <c r="I27" s="16">
        <v>0</v>
      </c>
      <c r="J27" s="25">
        <v>0</v>
      </c>
      <c r="K27" s="16">
        <v>5000</v>
      </c>
    </row>
    <row r="28" spans="1:11" x14ac:dyDescent="0.2">
      <c r="A28" s="14" t="s">
        <v>102</v>
      </c>
      <c r="B28" s="9" t="s">
        <v>219</v>
      </c>
      <c r="C28" s="16">
        <v>0</v>
      </c>
      <c r="D28" s="11" t="s">
        <v>2</v>
      </c>
      <c r="E28" s="16">
        <v>862</v>
      </c>
      <c r="F28" s="16">
        <v>1000</v>
      </c>
      <c r="G28" s="25">
        <f t="shared" si="2"/>
        <v>0.86199999999999999</v>
      </c>
      <c r="H28" s="11" t="s">
        <v>2</v>
      </c>
      <c r="I28" s="16">
        <v>1000</v>
      </c>
      <c r="J28" s="25">
        <f t="shared" si="3"/>
        <v>0.86199999999999999</v>
      </c>
      <c r="K28" s="16">
        <v>789</v>
      </c>
    </row>
    <row r="29" spans="1:11" x14ac:dyDescent="0.2">
      <c r="A29" s="14" t="s">
        <v>151</v>
      </c>
      <c r="B29" s="9" t="s">
        <v>220</v>
      </c>
      <c r="C29" s="16">
        <v>0</v>
      </c>
      <c r="D29" s="11" t="s">
        <v>2</v>
      </c>
      <c r="E29" s="16">
        <v>61</v>
      </c>
      <c r="F29" s="16">
        <v>600</v>
      </c>
      <c r="G29" s="25">
        <f t="shared" si="2"/>
        <v>0.10166666666666667</v>
      </c>
      <c r="H29" s="11" t="s">
        <v>2</v>
      </c>
      <c r="I29" s="16">
        <v>600</v>
      </c>
      <c r="J29" s="25">
        <f t="shared" si="3"/>
        <v>0.10166666666666667</v>
      </c>
      <c r="K29" s="16">
        <v>573</v>
      </c>
    </row>
    <row r="30" spans="1:11" x14ac:dyDescent="0.2">
      <c r="A30" s="14" t="s">
        <v>221</v>
      </c>
      <c r="B30" s="9" t="s">
        <v>222</v>
      </c>
      <c r="C30" s="16">
        <v>0</v>
      </c>
      <c r="D30" s="11" t="s">
        <v>2</v>
      </c>
      <c r="E30" s="16">
        <v>0</v>
      </c>
      <c r="F30" s="16">
        <v>200</v>
      </c>
      <c r="G30" s="25">
        <v>0</v>
      </c>
      <c r="H30" s="11" t="s">
        <v>2</v>
      </c>
      <c r="I30" s="16">
        <v>200</v>
      </c>
      <c r="J30" s="25">
        <v>0</v>
      </c>
      <c r="K30" s="16">
        <v>99</v>
      </c>
    </row>
    <row r="31" spans="1:11" x14ac:dyDescent="0.2">
      <c r="A31" s="9"/>
      <c r="B31" s="9"/>
      <c r="C31" s="19"/>
      <c r="D31" s="11" t="s">
        <v>2</v>
      </c>
      <c r="E31" s="19"/>
      <c r="F31" s="19"/>
      <c r="G31" s="19"/>
      <c r="H31" s="11" t="s">
        <v>2</v>
      </c>
      <c r="I31" s="19"/>
      <c r="J31" s="19"/>
      <c r="K31" s="19"/>
    </row>
    <row r="32" spans="1:11" x14ac:dyDescent="0.2">
      <c r="A32" s="12" t="s">
        <v>223</v>
      </c>
      <c r="B32" s="12"/>
      <c r="C32" s="18">
        <f>SUM(C22:C31)</f>
        <v>159</v>
      </c>
      <c r="D32" s="1" t="s">
        <v>2</v>
      </c>
      <c r="E32" s="18">
        <f t="shared" ref="E32:F32" si="4">SUM(E22:E31)</f>
        <v>2021</v>
      </c>
      <c r="F32" s="18">
        <f t="shared" si="4"/>
        <v>3900</v>
      </c>
      <c r="G32" s="35">
        <f>+E32/F32</f>
        <v>0.51820512820512821</v>
      </c>
      <c r="H32" s="1" t="s">
        <v>2</v>
      </c>
      <c r="I32" s="18">
        <f t="shared" ref="I32:K32" si="5">SUM(I22:I31)</f>
        <v>3900</v>
      </c>
      <c r="J32" s="35">
        <f>+E32/I32</f>
        <v>0.51820512820512821</v>
      </c>
      <c r="K32" s="18">
        <f t="shared" si="5"/>
        <v>16119</v>
      </c>
    </row>
    <row r="33" spans="1:11" x14ac:dyDescent="0.2">
      <c r="A33" s="9"/>
      <c r="B33" s="9"/>
      <c r="C33" s="10"/>
      <c r="D33" s="11" t="s">
        <v>2</v>
      </c>
      <c r="E33" s="10"/>
      <c r="F33" s="10"/>
      <c r="G33" s="10"/>
      <c r="H33" s="11" t="s">
        <v>2</v>
      </c>
      <c r="I33" s="10"/>
      <c r="J33" s="10"/>
      <c r="K33" s="10"/>
    </row>
    <row r="34" spans="1:11" x14ac:dyDescent="0.2">
      <c r="A34" s="12" t="s">
        <v>224</v>
      </c>
      <c r="B34" s="12"/>
      <c r="C34" s="13"/>
      <c r="D34" s="1" t="s">
        <v>2</v>
      </c>
      <c r="E34" s="13"/>
      <c r="F34" s="13"/>
      <c r="G34" s="13"/>
      <c r="H34" s="1" t="s">
        <v>2</v>
      </c>
      <c r="I34" s="13"/>
      <c r="J34" s="13"/>
      <c r="K34" s="13"/>
    </row>
    <row r="35" spans="1:11" x14ac:dyDescent="0.2">
      <c r="A35" s="14" t="s">
        <v>225</v>
      </c>
      <c r="B35" s="9" t="s">
        <v>226</v>
      </c>
      <c r="C35" s="16">
        <v>0</v>
      </c>
      <c r="D35" s="11" t="s">
        <v>2</v>
      </c>
      <c r="E35" s="16">
        <v>11895</v>
      </c>
      <c r="F35" s="16">
        <v>17085</v>
      </c>
      <c r="G35" s="25">
        <f t="shared" ref="G35" si="6">+E35/F35</f>
        <v>0.69622475856014043</v>
      </c>
      <c r="H35" s="11" t="s">
        <v>2</v>
      </c>
      <c r="I35" s="16">
        <v>17085</v>
      </c>
      <c r="J35" s="25">
        <f t="shared" ref="J35" si="7">+E35/I35</f>
        <v>0.69622475856014043</v>
      </c>
      <c r="K35" s="16">
        <v>6835</v>
      </c>
    </row>
    <row r="36" spans="1:11" x14ac:dyDescent="0.2">
      <c r="A36" s="14" t="s">
        <v>98</v>
      </c>
      <c r="B36" s="9" t="s">
        <v>227</v>
      </c>
      <c r="C36" s="16">
        <v>0</v>
      </c>
      <c r="D36" s="11" t="s">
        <v>2</v>
      </c>
      <c r="E36" s="16">
        <v>0</v>
      </c>
      <c r="F36" s="16">
        <v>400</v>
      </c>
      <c r="G36" s="25">
        <v>0</v>
      </c>
      <c r="H36" s="11" t="s">
        <v>2</v>
      </c>
      <c r="I36" s="16">
        <v>400</v>
      </c>
      <c r="J36" s="25">
        <v>0</v>
      </c>
      <c r="K36" s="16">
        <v>0</v>
      </c>
    </row>
    <row r="37" spans="1:11" x14ac:dyDescent="0.2">
      <c r="A37" s="14" t="s">
        <v>151</v>
      </c>
      <c r="B37" s="9" t="s">
        <v>228</v>
      </c>
      <c r="C37" s="16">
        <v>0</v>
      </c>
      <c r="D37" s="11" t="s">
        <v>2</v>
      </c>
      <c r="E37" s="16">
        <v>0</v>
      </c>
      <c r="F37" s="16">
        <v>50</v>
      </c>
      <c r="G37" s="25">
        <v>0</v>
      </c>
      <c r="H37" s="11" t="s">
        <v>2</v>
      </c>
      <c r="I37" s="16">
        <v>50</v>
      </c>
      <c r="J37" s="25">
        <v>0</v>
      </c>
      <c r="K37" s="16">
        <v>0</v>
      </c>
    </row>
    <row r="38" spans="1:11" x14ac:dyDescent="0.2">
      <c r="A38" s="14" t="s">
        <v>153</v>
      </c>
      <c r="B38" s="9" t="s">
        <v>229</v>
      </c>
      <c r="C38" s="16">
        <v>0</v>
      </c>
      <c r="D38" s="11" t="s">
        <v>2</v>
      </c>
      <c r="E38" s="16">
        <v>22</v>
      </c>
      <c r="F38" s="16">
        <v>0</v>
      </c>
      <c r="G38" s="25">
        <v>0</v>
      </c>
      <c r="H38" s="11" t="s">
        <v>2</v>
      </c>
      <c r="I38" s="16">
        <v>0</v>
      </c>
      <c r="J38" s="25">
        <v>0</v>
      </c>
      <c r="K38" s="16">
        <v>0</v>
      </c>
    </row>
    <row r="39" spans="1:11" x14ac:dyDescent="0.2">
      <c r="A39" s="9"/>
      <c r="B39" s="9"/>
      <c r="C39" s="19"/>
      <c r="D39" s="11" t="s">
        <v>2</v>
      </c>
      <c r="E39" s="19"/>
      <c r="F39" s="19"/>
      <c r="G39" s="19"/>
      <c r="H39" s="11" t="s">
        <v>2</v>
      </c>
      <c r="I39" s="19"/>
      <c r="J39" s="19"/>
      <c r="K39" s="19"/>
    </row>
    <row r="40" spans="1:11" x14ac:dyDescent="0.2">
      <c r="A40" s="12" t="s">
        <v>230</v>
      </c>
      <c r="B40" s="12"/>
      <c r="C40" s="18">
        <f>SUM(C35:C39)</f>
        <v>0</v>
      </c>
      <c r="D40" s="1" t="s">
        <v>2</v>
      </c>
      <c r="E40" s="18">
        <f t="shared" ref="E40:F40" si="8">SUM(E35:E39)</f>
        <v>11917</v>
      </c>
      <c r="F40" s="18">
        <f t="shared" si="8"/>
        <v>17535</v>
      </c>
      <c r="G40" s="35">
        <f>+E40/F40</f>
        <v>0.67961220416310242</v>
      </c>
      <c r="H40" s="1" t="s">
        <v>2</v>
      </c>
      <c r="I40" s="18">
        <f t="shared" ref="I40:K40" si="9">SUM(I35:I39)</f>
        <v>17535</v>
      </c>
      <c r="J40" s="35">
        <f>+E40/I40</f>
        <v>0.67961220416310242</v>
      </c>
      <c r="K40" s="18">
        <f t="shared" si="9"/>
        <v>6835</v>
      </c>
    </row>
    <row r="41" spans="1:11" x14ac:dyDescent="0.2">
      <c r="A41" s="9"/>
      <c r="B41" s="9"/>
      <c r="C41" s="19"/>
      <c r="D41" s="11" t="s">
        <v>2</v>
      </c>
      <c r="E41" s="19"/>
      <c r="F41" s="19"/>
      <c r="G41" s="19"/>
      <c r="H41" s="11" t="s">
        <v>2</v>
      </c>
      <c r="I41" s="19"/>
      <c r="J41" s="19"/>
      <c r="K41" s="19"/>
    </row>
    <row r="42" spans="1:11" x14ac:dyDescent="0.2">
      <c r="A42" s="22" t="s">
        <v>59</v>
      </c>
      <c r="B42" s="22"/>
      <c r="C42" s="27">
        <f>+C40+C32</f>
        <v>159</v>
      </c>
      <c r="D42" s="24" t="s">
        <v>2</v>
      </c>
      <c r="E42" s="27">
        <f t="shared" ref="E42:F42" si="10">+E40+E32</f>
        <v>13938</v>
      </c>
      <c r="F42" s="27">
        <f t="shared" si="10"/>
        <v>21435</v>
      </c>
      <c r="G42" s="28">
        <f>+E42/F42</f>
        <v>0.65024492652204335</v>
      </c>
      <c r="H42" s="24" t="s">
        <v>2</v>
      </c>
      <c r="I42" s="27">
        <f t="shared" ref="I42:K42" si="11">+I40+I32</f>
        <v>21435</v>
      </c>
      <c r="J42" s="28">
        <f>+E42/I42</f>
        <v>0.65024492652204335</v>
      </c>
      <c r="K42" s="27">
        <f t="shared" si="11"/>
        <v>22954</v>
      </c>
    </row>
    <row r="43" spans="1:11" x14ac:dyDescent="0.2">
      <c r="A43" s="9"/>
      <c r="B43" s="9"/>
      <c r="C43" s="10"/>
      <c r="D43" s="11" t="s">
        <v>2</v>
      </c>
      <c r="E43" s="10"/>
      <c r="F43" s="10"/>
      <c r="G43" s="10"/>
      <c r="H43" s="11" t="s">
        <v>2</v>
      </c>
      <c r="I43" s="10"/>
      <c r="J43" s="10"/>
      <c r="K43" s="10"/>
    </row>
    <row r="44" spans="1:11" x14ac:dyDescent="0.2">
      <c r="A44" s="9"/>
      <c r="B44" s="9"/>
      <c r="C44" s="36"/>
      <c r="D44" s="11" t="s">
        <v>2</v>
      </c>
      <c r="E44" s="36"/>
      <c r="F44" s="36"/>
      <c r="G44" s="36"/>
      <c r="H44" s="11" t="s">
        <v>2</v>
      </c>
      <c r="I44" s="36"/>
      <c r="J44" s="36"/>
      <c r="K44" s="36"/>
    </row>
    <row r="45" spans="1:11" x14ac:dyDescent="0.2">
      <c r="A45" s="30" t="s">
        <v>231</v>
      </c>
      <c r="B45" s="30"/>
      <c r="C45" s="31">
        <f>+C16-C42</f>
        <v>391</v>
      </c>
      <c r="D45" s="32" t="s">
        <v>2</v>
      </c>
      <c r="E45" s="31">
        <f t="shared" ref="E45:F45" si="12">+E16-E42</f>
        <v>39062</v>
      </c>
      <c r="F45" s="31">
        <f t="shared" si="12"/>
        <v>26115</v>
      </c>
      <c r="G45" s="33">
        <f>+E45/F45</f>
        <v>1.4957687152977217</v>
      </c>
      <c r="H45" s="32" t="s">
        <v>2</v>
      </c>
      <c r="I45" s="31">
        <f t="shared" ref="I45:K45" si="13">+I16-I42</f>
        <v>26115</v>
      </c>
      <c r="J45" s="33">
        <f>+E45/I45</f>
        <v>1.4957687152977217</v>
      </c>
      <c r="K45" s="31">
        <f t="shared" si="13"/>
        <v>24176</v>
      </c>
    </row>
    <row r="46" spans="1:11" x14ac:dyDescent="0.2">
      <c r="A46" s="9"/>
      <c r="B46" s="9"/>
      <c r="C46" s="29"/>
      <c r="D46" s="11" t="s">
        <v>2</v>
      </c>
      <c r="E46" s="29"/>
      <c r="F46" s="29"/>
      <c r="G46" s="29"/>
      <c r="H46" s="11" t="s">
        <v>2</v>
      </c>
      <c r="I46" s="29"/>
      <c r="J46" s="29"/>
      <c r="K46" s="29"/>
    </row>
  </sheetData>
  <mergeCells count="6">
    <mergeCell ref="E5:G5"/>
    <mergeCell ref="I5:K5"/>
    <mergeCell ref="A1:K1"/>
    <mergeCell ref="A2:K2"/>
    <mergeCell ref="A3:K3"/>
    <mergeCell ref="A4:K4"/>
  </mergeCells>
  <printOptions horizontalCentered="1"/>
  <pageMargins left="0.75" right="0.75" top="0.75" bottom="0.75" header="0.03" footer="0.03"/>
  <pageSetup scale="63" pageOrder="overThenDown" orientation="portrait" r:id="rId1"/>
  <headerFooter>
    <oddHeader>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27"/>
  <sheetViews>
    <sheetView workbookViewId="0">
      <pane ySplit="7" topLeftCell="A98" activePane="bottomLeft" state="frozen"/>
      <selection pane="bottomLeft" sqref="A1:XFD7"/>
    </sheetView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ht="15.75" x14ac:dyDescent="0.25">
      <c r="A1" s="85" t="s">
        <v>502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 x14ac:dyDescent="0.25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 x14ac:dyDescent="0.25">
      <c r="A3" s="85" t="s">
        <v>505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 x14ac:dyDescent="0.25">
      <c r="A4" s="85" t="s">
        <v>480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x14ac:dyDescent="0.2">
      <c r="C5" s="76">
        <v>43435</v>
      </c>
      <c r="E5" s="86" t="s">
        <v>37</v>
      </c>
      <c r="F5" s="86"/>
      <c r="G5" s="86"/>
      <c r="I5" s="86" t="s">
        <v>40</v>
      </c>
      <c r="J5" s="86"/>
      <c r="K5" s="86"/>
    </row>
    <row r="6" spans="1:11" x14ac:dyDescent="0.2">
      <c r="G6" s="1" t="s">
        <v>36</v>
      </c>
      <c r="J6" s="1" t="s">
        <v>36</v>
      </c>
      <c r="K6" s="1" t="s">
        <v>41</v>
      </c>
    </row>
    <row r="7" spans="1:11" x14ac:dyDescent="0.2">
      <c r="C7" s="2" t="s">
        <v>36</v>
      </c>
      <c r="E7" s="2" t="s">
        <v>36</v>
      </c>
      <c r="F7" s="2" t="s">
        <v>38</v>
      </c>
      <c r="G7" s="2" t="s">
        <v>39</v>
      </c>
      <c r="I7" s="2" t="s">
        <v>38</v>
      </c>
      <c r="J7" s="2" t="s">
        <v>39</v>
      </c>
      <c r="K7" s="2" t="s">
        <v>36</v>
      </c>
    </row>
    <row r="8" spans="1:11" x14ac:dyDescent="0.2">
      <c r="A8" s="9"/>
      <c r="B8" s="9"/>
      <c r="C8" s="10"/>
      <c r="D8" s="11" t="s">
        <v>2</v>
      </c>
      <c r="E8" s="10"/>
      <c r="F8" s="10"/>
      <c r="G8" s="10"/>
      <c r="H8" s="11" t="s">
        <v>2</v>
      </c>
      <c r="I8" s="10"/>
      <c r="J8" s="10"/>
      <c r="K8" s="10"/>
    </row>
    <row r="9" spans="1:11" x14ac:dyDescent="0.2">
      <c r="A9" s="9"/>
      <c r="B9" s="9"/>
      <c r="C9" s="10"/>
      <c r="D9" s="11" t="s">
        <v>2</v>
      </c>
      <c r="E9" s="10"/>
      <c r="F9" s="10"/>
      <c r="G9" s="10"/>
      <c r="H9" s="11" t="s">
        <v>2</v>
      </c>
      <c r="I9" s="10"/>
      <c r="J9" s="10"/>
      <c r="K9" s="10"/>
    </row>
    <row r="10" spans="1:11" x14ac:dyDescent="0.2">
      <c r="A10" s="22" t="s">
        <v>62</v>
      </c>
      <c r="B10" s="22"/>
      <c r="C10" s="23"/>
      <c r="D10" s="24" t="s">
        <v>2</v>
      </c>
      <c r="E10" s="23"/>
      <c r="F10" s="23"/>
      <c r="G10" s="23"/>
      <c r="H10" s="24" t="s">
        <v>2</v>
      </c>
      <c r="I10" s="23"/>
      <c r="J10" s="23"/>
      <c r="K10" s="23"/>
    </row>
    <row r="11" spans="1:11" x14ac:dyDescent="0.2">
      <c r="A11" s="9"/>
      <c r="B11" s="9"/>
      <c r="C11" s="10"/>
      <c r="D11" s="11" t="s">
        <v>2</v>
      </c>
      <c r="E11" s="10"/>
      <c r="F11" s="10"/>
      <c r="G11" s="10"/>
      <c r="H11" s="11" t="s">
        <v>2</v>
      </c>
      <c r="I11" s="10"/>
      <c r="J11" s="10"/>
      <c r="K11" s="10"/>
    </row>
    <row r="12" spans="1:11" x14ac:dyDescent="0.2">
      <c r="A12" s="12" t="s">
        <v>232</v>
      </c>
      <c r="B12" s="12"/>
      <c r="C12" s="13"/>
      <c r="D12" s="1" t="s">
        <v>2</v>
      </c>
      <c r="E12" s="13"/>
      <c r="F12" s="13"/>
      <c r="G12" s="13"/>
      <c r="H12" s="1" t="s">
        <v>2</v>
      </c>
      <c r="I12" s="13"/>
      <c r="J12" s="13"/>
      <c r="K12" s="13"/>
    </row>
    <row r="13" spans="1:11" x14ac:dyDescent="0.2">
      <c r="A13" s="14" t="s">
        <v>233</v>
      </c>
      <c r="B13" s="9" t="s">
        <v>234</v>
      </c>
      <c r="C13" s="15">
        <v>0</v>
      </c>
      <c r="D13" s="11" t="s">
        <v>2</v>
      </c>
      <c r="E13" s="15">
        <v>221</v>
      </c>
      <c r="F13" s="15">
        <v>0</v>
      </c>
      <c r="G13" s="25">
        <v>0</v>
      </c>
      <c r="H13" s="11" t="s">
        <v>2</v>
      </c>
      <c r="I13" s="15">
        <v>0</v>
      </c>
      <c r="J13" s="78" t="s">
        <v>477</v>
      </c>
      <c r="K13" s="15">
        <v>0</v>
      </c>
    </row>
    <row r="14" spans="1:11" x14ac:dyDescent="0.2">
      <c r="A14" s="9"/>
      <c r="B14" s="9"/>
      <c r="C14" s="19"/>
      <c r="D14" s="11" t="s">
        <v>2</v>
      </c>
      <c r="E14" s="19"/>
      <c r="F14" s="19"/>
      <c r="G14" s="19"/>
      <c r="H14" s="11" t="s">
        <v>2</v>
      </c>
      <c r="I14" s="19"/>
      <c r="J14" s="19"/>
      <c r="K14" s="19"/>
    </row>
    <row r="15" spans="1:11" x14ac:dyDescent="0.2">
      <c r="A15" s="12" t="s">
        <v>235</v>
      </c>
      <c r="B15" s="12"/>
      <c r="C15" s="18">
        <f>SUM(C13:C14)</f>
        <v>0</v>
      </c>
      <c r="D15" s="1" t="s">
        <v>2</v>
      </c>
      <c r="E15" s="18">
        <f t="shared" ref="E15:F15" si="0">SUM(E13:E14)</f>
        <v>221</v>
      </c>
      <c r="F15" s="18">
        <f t="shared" si="0"/>
        <v>0</v>
      </c>
      <c r="G15" s="35">
        <v>0</v>
      </c>
      <c r="H15" s="1" t="s">
        <v>2</v>
      </c>
      <c r="I15" s="18">
        <f t="shared" ref="I15:K15" si="1">SUM(I13:I14)</f>
        <v>0</v>
      </c>
      <c r="J15" s="35">
        <v>0</v>
      </c>
      <c r="K15" s="18">
        <f t="shared" si="1"/>
        <v>0</v>
      </c>
    </row>
    <row r="16" spans="1:11" x14ac:dyDescent="0.2">
      <c r="A16" s="9"/>
      <c r="B16" s="9"/>
      <c r="C16" s="10"/>
      <c r="D16" s="11" t="s">
        <v>2</v>
      </c>
      <c r="E16" s="10"/>
      <c r="F16" s="10"/>
      <c r="G16" s="10"/>
      <c r="H16" s="11" t="s">
        <v>2</v>
      </c>
      <c r="I16" s="10"/>
      <c r="J16" s="10"/>
      <c r="K16" s="10"/>
    </row>
    <row r="17" spans="1:11" x14ac:dyDescent="0.2">
      <c r="A17" s="12" t="s">
        <v>236</v>
      </c>
      <c r="B17" s="12"/>
      <c r="C17" s="13"/>
      <c r="D17" s="1" t="s">
        <v>2</v>
      </c>
      <c r="E17" s="13"/>
      <c r="F17" s="13"/>
      <c r="G17" s="13"/>
      <c r="H17" s="1" t="s">
        <v>2</v>
      </c>
      <c r="I17" s="13"/>
      <c r="J17" s="13"/>
      <c r="K17" s="13"/>
    </row>
    <row r="18" spans="1:11" x14ac:dyDescent="0.2">
      <c r="A18" s="14" t="s">
        <v>237</v>
      </c>
      <c r="B18" s="9" t="s">
        <v>238</v>
      </c>
      <c r="C18" s="16">
        <v>0</v>
      </c>
      <c r="D18" s="11" t="s">
        <v>2</v>
      </c>
      <c r="E18" s="16">
        <v>395</v>
      </c>
      <c r="F18" s="16">
        <v>0</v>
      </c>
      <c r="G18" s="25">
        <v>0</v>
      </c>
      <c r="H18" s="11" t="s">
        <v>2</v>
      </c>
      <c r="I18" s="16">
        <v>0</v>
      </c>
      <c r="J18" s="25">
        <v>0</v>
      </c>
      <c r="K18" s="16">
        <v>195</v>
      </c>
    </row>
    <row r="19" spans="1:11" x14ac:dyDescent="0.2">
      <c r="A19" s="9"/>
      <c r="B19" s="9"/>
      <c r="C19" s="19"/>
      <c r="D19" s="11" t="s">
        <v>2</v>
      </c>
      <c r="E19" s="19"/>
      <c r="F19" s="19"/>
      <c r="G19" s="19"/>
      <c r="H19" s="11" t="s">
        <v>2</v>
      </c>
      <c r="I19" s="19"/>
      <c r="J19" s="19"/>
      <c r="K19" s="19"/>
    </row>
    <row r="20" spans="1:11" x14ac:dyDescent="0.2">
      <c r="A20" s="12" t="s">
        <v>239</v>
      </c>
      <c r="B20" s="12"/>
      <c r="C20" s="18">
        <f>SUM(C18:C19)</f>
        <v>0</v>
      </c>
      <c r="D20" s="1" t="s">
        <v>2</v>
      </c>
      <c r="E20" s="18">
        <f t="shared" ref="E20:F20" si="2">SUM(E18:E19)</f>
        <v>395</v>
      </c>
      <c r="F20" s="18">
        <f t="shared" si="2"/>
        <v>0</v>
      </c>
      <c r="G20" s="35">
        <v>0</v>
      </c>
      <c r="H20" s="1" t="s">
        <v>2</v>
      </c>
      <c r="I20" s="18">
        <f t="shared" ref="I20:K20" si="3">SUM(I18:I19)</f>
        <v>0</v>
      </c>
      <c r="J20" s="35">
        <v>0</v>
      </c>
      <c r="K20" s="18">
        <f t="shared" si="3"/>
        <v>195</v>
      </c>
    </row>
    <row r="21" spans="1:11" x14ac:dyDescent="0.2">
      <c r="A21" s="9"/>
      <c r="B21" s="9"/>
      <c r="C21" s="10"/>
      <c r="D21" s="11" t="s">
        <v>2</v>
      </c>
      <c r="E21" s="10"/>
      <c r="F21" s="10"/>
      <c r="G21" s="10"/>
      <c r="H21" s="11" t="s">
        <v>2</v>
      </c>
      <c r="I21" s="10"/>
      <c r="J21" s="10"/>
      <c r="K21" s="10"/>
    </row>
    <row r="22" spans="1:11" x14ac:dyDescent="0.2">
      <c r="A22" s="12" t="s">
        <v>240</v>
      </c>
      <c r="B22" s="12"/>
      <c r="C22" s="13"/>
      <c r="D22" s="1" t="s">
        <v>2</v>
      </c>
      <c r="E22" s="13"/>
      <c r="F22" s="13"/>
      <c r="G22" s="13"/>
      <c r="H22" s="1" t="s">
        <v>2</v>
      </c>
      <c r="I22" s="13"/>
      <c r="J22" s="13"/>
      <c r="K22" s="13"/>
    </row>
    <row r="23" spans="1:11" x14ac:dyDescent="0.2">
      <c r="A23" s="14" t="s">
        <v>112</v>
      </c>
      <c r="B23" s="9" t="s">
        <v>241</v>
      </c>
      <c r="C23" s="16">
        <v>0</v>
      </c>
      <c r="D23" s="11" t="s">
        <v>2</v>
      </c>
      <c r="E23" s="16">
        <v>0</v>
      </c>
      <c r="F23" s="16">
        <v>26500</v>
      </c>
      <c r="G23" s="25">
        <v>0</v>
      </c>
      <c r="H23" s="11" t="s">
        <v>2</v>
      </c>
      <c r="I23" s="16">
        <v>26500</v>
      </c>
      <c r="J23" s="25">
        <v>0</v>
      </c>
      <c r="K23" s="16">
        <v>0</v>
      </c>
    </row>
    <row r="24" spans="1:11" x14ac:dyDescent="0.2">
      <c r="A24" s="9"/>
      <c r="B24" s="9"/>
      <c r="C24" s="19"/>
      <c r="D24" s="11" t="s">
        <v>2</v>
      </c>
      <c r="E24" s="19"/>
      <c r="F24" s="19"/>
      <c r="G24" s="19"/>
      <c r="H24" s="11" t="s">
        <v>2</v>
      </c>
      <c r="I24" s="19"/>
      <c r="J24" s="19"/>
      <c r="K24" s="19"/>
    </row>
    <row r="25" spans="1:11" x14ac:dyDescent="0.2">
      <c r="A25" s="37" t="s">
        <v>242</v>
      </c>
      <c r="B25" s="12"/>
      <c r="C25" s="18">
        <f>SUM(C23:C24)</f>
        <v>0</v>
      </c>
      <c r="D25" s="1" t="s">
        <v>2</v>
      </c>
      <c r="E25" s="18">
        <f t="shared" ref="E25:F25" si="4">SUM(E23:E24)</f>
        <v>0</v>
      </c>
      <c r="F25" s="18">
        <f t="shared" si="4"/>
        <v>26500</v>
      </c>
      <c r="G25" s="35">
        <v>0</v>
      </c>
      <c r="H25" s="1" t="s">
        <v>2</v>
      </c>
      <c r="I25" s="18">
        <f t="shared" ref="I25:K25" si="5">SUM(I23:I24)</f>
        <v>26500</v>
      </c>
      <c r="J25" s="35">
        <v>0</v>
      </c>
      <c r="K25" s="18">
        <f t="shared" si="5"/>
        <v>0</v>
      </c>
    </row>
    <row r="26" spans="1:11" x14ac:dyDescent="0.2">
      <c r="A26" s="9"/>
      <c r="B26" s="9"/>
      <c r="C26" s="10"/>
      <c r="D26" s="11" t="s">
        <v>2</v>
      </c>
      <c r="E26" s="10"/>
      <c r="F26" s="10"/>
      <c r="G26" s="10"/>
      <c r="H26" s="11" t="s">
        <v>2</v>
      </c>
      <c r="I26" s="10"/>
      <c r="J26" s="10"/>
      <c r="K26" s="10"/>
    </row>
    <row r="27" spans="1:11" x14ac:dyDescent="0.2">
      <c r="A27" s="12" t="s">
        <v>243</v>
      </c>
      <c r="B27" s="12"/>
      <c r="C27" s="13"/>
      <c r="D27" s="1" t="s">
        <v>2</v>
      </c>
      <c r="E27" s="13"/>
      <c r="F27" s="13"/>
      <c r="G27" s="13"/>
      <c r="H27" s="1" t="s">
        <v>2</v>
      </c>
      <c r="I27" s="13"/>
      <c r="J27" s="13"/>
      <c r="K27" s="13"/>
    </row>
    <row r="28" spans="1:11" x14ac:dyDescent="0.2">
      <c r="A28" s="14" t="s">
        <v>243</v>
      </c>
      <c r="B28" s="9" t="s">
        <v>244</v>
      </c>
      <c r="C28" s="16">
        <v>0</v>
      </c>
      <c r="D28" s="11" t="s">
        <v>2</v>
      </c>
      <c r="E28" s="16">
        <v>0</v>
      </c>
      <c r="F28" s="16">
        <v>0</v>
      </c>
      <c r="G28" s="25">
        <v>0</v>
      </c>
      <c r="H28" s="11" t="s">
        <v>2</v>
      </c>
      <c r="I28" s="16">
        <v>0</v>
      </c>
      <c r="J28" s="25">
        <v>0</v>
      </c>
      <c r="K28" s="16">
        <v>1665</v>
      </c>
    </row>
    <row r="29" spans="1:11" x14ac:dyDescent="0.2">
      <c r="A29" s="9"/>
      <c r="B29" s="9"/>
      <c r="C29" s="19"/>
      <c r="D29" s="11" t="s">
        <v>2</v>
      </c>
      <c r="E29" s="19"/>
      <c r="F29" s="19"/>
      <c r="G29" s="19"/>
      <c r="H29" s="11" t="s">
        <v>2</v>
      </c>
      <c r="I29" s="19"/>
      <c r="J29" s="19"/>
      <c r="K29" s="19"/>
    </row>
    <row r="30" spans="1:11" x14ac:dyDescent="0.2">
      <c r="A30" s="12" t="s">
        <v>245</v>
      </c>
      <c r="B30" s="12"/>
      <c r="C30" s="18">
        <f>SUM(C28:C29)</f>
        <v>0</v>
      </c>
      <c r="D30" s="1" t="s">
        <v>2</v>
      </c>
      <c r="E30" s="18">
        <f t="shared" ref="E30:F30" si="6">SUM(E28:E29)</f>
        <v>0</v>
      </c>
      <c r="F30" s="18">
        <f t="shared" si="6"/>
        <v>0</v>
      </c>
      <c r="G30" s="35">
        <v>0</v>
      </c>
      <c r="H30" s="1" t="s">
        <v>2</v>
      </c>
      <c r="I30" s="18">
        <f t="shared" ref="I30:K30" si="7">SUM(I28:I29)</f>
        <v>0</v>
      </c>
      <c r="J30" s="35">
        <v>0</v>
      </c>
      <c r="K30" s="18">
        <f t="shared" si="7"/>
        <v>1665</v>
      </c>
    </row>
    <row r="31" spans="1:11" x14ac:dyDescent="0.2">
      <c r="A31" s="9"/>
      <c r="B31" s="9"/>
      <c r="C31" s="10"/>
      <c r="D31" s="11" t="s">
        <v>2</v>
      </c>
      <c r="E31" s="10"/>
      <c r="F31" s="10"/>
      <c r="G31" s="10"/>
      <c r="H31" s="11" t="s">
        <v>2</v>
      </c>
      <c r="I31" s="10"/>
      <c r="J31" s="10"/>
      <c r="K31" s="10"/>
    </row>
    <row r="32" spans="1:11" x14ac:dyDescent="0.2">
      <c r="A32" s="12" t="s">
        <v>246</v>
      </c>
      <c r="B32" s="12"/>
      <c r="C32" s="13"/>
      <c r="D32" s="1" t="s">
        <v>2</v>
      </c>
      <c r="E32" s="13"/>
      <c r="F32" s="13"/>
      <c r="G32" s="13"/>
      <c r="H32" s="1" t="s">
        <v>2</v>
      </c>
      <c r="I32" s="13"/>
      <c r="J32" s="13"/>
      <c r="K32" s="13"/>
    </row>
    <row r="33" spans="1:11" x14ac:dyDescent="0.2">
      <c r="A33" s="14" t="s">
        <v>247</v>
      </c>
      <c r="B33" s="9" t="s">
        <v>248</v>
      </c>
      <c r="C33" s="16">
        <v>921</v>
      </c>
      <c r="D33" s="11" t="s">
        <v>2</v>
      </c>
      <c r="E33" s="16">
        <f>921+19550</f>
        <v>20471</v>
      </c>
      <c r="F33" s="16">
        <v>18500</v>
      </c>
      <c r="G33" s="25">
        <f>+E33/F33</f>
        <v>1.1065405405405406</v>
      </c>
      <c r="H33" s="11" t="s">
        <v>2</v>
      </c>
      <c r="I33" s="16">
        <v>18500</v>
      </c>
      <c r="J33" s="25">
        <f>+E33/I33</f>
        <v>1.1065405405405406</v>
      </c>
      <c r="K33" s="16">
        <v>21638</v>
      </c>
    </row>
    <row r="34" spans="1:11" x14ac:dyDescent="0.2">
      <c r="A34" s="9"/>
      <c r="B34" s="9"/>
      <c r="C34" s="19"/>
      <c r="D34" s="11" t="s">
        <v>2</v>
      </c>
      <c r="E34" s="19"/>
      <c r="F34" s="19"/>
      <c r="G34" s="19"/>
      <c r="H34" s="11" t="s">
        <v>2</v>
      </c>
      <c r="I34" s="19"/>
      <c r="J34" s="19"/>
      <c r="K34" s="19"/>
    </row>
    <row r="35" spans="1:11" x14ac:dyDescent="0.2">
      <c r="A35" s="12" t="s">
        <v>249</v>
      </c>
      <c r="B35" s="12"/>
      <c r="C35" s="18">
        <f>SUM(C33:C34)</f>
        <v>921</v>
      </c>
      <c r="D35" s="1" t="s">
        <v>2</v>
      </c>
      <c r="E35" s="18">
        <f t="shared" ref="E35:F35" si="8">SUM(E33:E34)</f>
        <v>20471</v>
      </c>
      <c r="F35" s="18">
        <f t="shared" si="8"/>
        <v>18500</v>
      </c>
      <c r="G35" s="35">
        <f>+E35/F35</f>
        <v>1.1065405405405406</v>
      </c>
      <c r="H35" s="1" t="s">
        <v>2</v>
      </c>
      <c r="I35" s="18">
        <f t="shared" ref="I35:K35" si="9">SUM(I33:I34)</f>
        <v>18500</v>
      </c>
      <c r="J35" s="35">
        <f>+E35/I35</f>
        <v>1.1065405405405406</v>
      </c>
      <c r="K35" s="18">
        <f t="shared" si="9"/>
        <v>21638</v>
      </c>
    </row>
    <row r="36" spans="1:11" x14ac:dyDescent="0.2">
      <c r="A36" s="14"/>
      <c r="B36" s="9"/>
      <c r="C36" s="19"/>
      <c r="D36" s="11" t="s">
        <v>2</v>
      </c>
      <c r="E36" s="19"/>
      <c r="F36" s="19"/>
      <c r="G36" s="19"/>
      <c r="H36" s="11" t="s">
        <v>2</v>
      </c>
      <c r="I36" s="19"/>
      <c r="J36" s="19"/>
      <c r="K36" s="19"/>
    </row>
    <row r="37" spans="1:11" x14ac:dyDescent="0.2">
      <c r="A37" s="22" t="s">
        <v>51</v>
      </c>
      <c r="B37" s="22"/>
      <c r="C37" s="27">
        <f>+C35+C30+C25+C20+C15</f>
        <v>921</v>
      </c>
      <c r="D37" s="24" t="s">
        <v>2</v>
      </c>
      <c r="E37" s="27">
        <f t="shared" ref="E37:F37" si="10">+E35+E30+E25+E20+E15</f>
        <v>21087</v>
      </c>
      <c r="F37" s="27">
        <f t="shared" si="10"/>
        <v>45000</v>
      </c>
      <c r="G37" s="28">
        <f>+E37/F37</f>
        <v>0.46860000000000002</v>
      </c>
      <c r="H37" s="24" t="s">
        <v>2</v>
      </c>
      <c r="I37" s="27">
        <f t="shared" ref="I37:K37" si="11">+I35+I30+I25+I20+I15</f>
        <v>45000</v>
      </c>
      <c r="J37" s="28">
        <f>+E37/I37</f>
        <v>0.46860000000000002</v>
      </c>
      <c r="K37" s="27">
        <f t="shared" si="11"/>
        <v>23498</v>
      </c>
    </row>
    <row r="38" spans="1:11" x14ac:dyDescent="0.2">
      <c r="A38" s="9"/>
      <c r="B38" s="9"/>
      <c r="C38" s="10"/>
      <c r="D38" s="11" t="s">
        <v>2</v>
      </c>
      <c r="E38" s="10"/>
      <c r="F38" s="10"/>
      <c r="G38" s="10"/>
      <c r="H38" s="11" t="s">
        <v>2</v>
      </c>
      <c r="I38" s="10"/>
      <c r="J38" s="10"/>
      <c r="K38" s="10"/>
    </row>
    <row r="39" spans="1:11" x14ac:dyDescent="0.2">
      <c r="A39" s="9"/>
      <c r="B39" s="9"/>
      <c r="C39" s="10"/>
      <c r="D39" s="11" t="s">
        <v>2</v>
      </c>
      <c r="E39" s="10"/>
      <c r="F39" s="10"/>
      <c r="G39" s="10"/>
      <c r="H39" s="11" t="s">
        <v>2</v>
      </c>
      <c r="I39" s="10"/>
      <c r="J39" s="10"/>
      <c r="K39" s="10"/>
    </row>
    <row r="40" spans="1:11" x14ac:dyDescent="0.2">
      <c r="A40" s="22" t="s">
        <v>64</v>
      </c>
      <c r="B40" s="22"/>
      <c r="C40" s="23"/>
      <c r="D40" s="24" t="s">
        <v>2</v>
      </c>
      <c r="E40" s="23"/>
      <c r="F40" s="23"/>
      <c r="G40" s="23"/>
      <c r="H40" s="24" t="s">
        <v>2</v>
      </c>
      <c r="I40" s="23"/>
      <c r="J40" s="23"/>
      <c r="K40" s="23"/>
    </row>
    <row r="41" spans="1:11" x14ac:dyDescent="0.2">
      <c r="A41" s="9"/>
      <c r="B41" s="9"/>
      <c r="C41" s="10"/>
      <c r="D41" s="11" t="s">
        <v>2</v>
      </c>
      <c r="E41" s="10"/>
      <c r="F41" s="10"/>
      <c r="G41" s="10"/>
      <c r="H41" s="11" t="s">
        <v>2</v>
      </c>
      <c r="I41" s="10"/>
      <c r="J41" s="10"/>
      <c r="K41" s="10"/>
    </row>
    <row r="42" spans="1:11" x14ac:dyDescent="0.2">
      <c r="A42" s="12" t="s">
        <v>250</v>
      </c>
      <c r="B42" s="12"/>
      <c r="C42" s="13"/>
      <c r="D42" s="1" t="s">
        <v>2</v>
      </c>
      <c r="E42" s="13"/>
      <c r="F42" s="13"/>
      <c r="G42" s="13"/>
      <c r="H42" s="1" t="s">
        <v>2</v>
      </c>
      <c r="I42" s="13"/>
      <c r="J42" s="13"/>
      <c r="K42" s="13"/>
    </row>
    <row r="43" spans="1:11" x14ac:dyDescent="0.2">
      <c r="A43" s="9"/>
      <c r="B43" s="9"/>
      <c r="C43" s="10"/>
      <c r="D43" s="11" t="s">
        <v>2</v>
      </c>
      <c r="E43" s="10"/>
      <c r="F43" s="10"/>
      <c r="G43" s="10"/>
      <c r="H43" s="11" t="s">
        <v>2</v>
      </c>
      <c r="I43" s="10"/>
      <c r="J43" s="10"/>
      <c r="K43" s="10"/>
    </row>
    <row r="44" spans="1:11" x14ac:dyDescent="0.2">
      <c r="A44" s="37" t="s">
        <v>251</v>
      </c>
      <c r="B44" s="12"/>
      <c r="C44" s="13"/>
      <c r="D44" s="1" t="s">
        <v>2</v>
      </c>
      <c r="E44" s="13"/>
      <c r="F44" s="13"/>
      <c r="G44" s="13"/>
      <c r="H44" s="1" t="s">
        <v>2</v>
      </c>
      <c r="I44" s="13"/>
      <c r="J44" s="13"/>
      <c r="K44" s="13"/>
    </row>
    <row r="45" spans="1:11" x14ac:dyDescent="0.2">
      <c r="A45" s="34" t="s">
        <v>178</v>
      </c>
      <c r="B45" s="9" t="s">
        <v>252</v>
      </c>
      <c r="C45" s="16">
        <v>151</v>
      </c>
      <c r="D45" s="11" t="s">
        <v>2</v>
      </c>
      <c r="E45" s="16">
        <f>151+8</f>
        <v>159</v>
      </c>
      <c r="F45" s="16">
        <v>200</v>
      </c>
      <c r="G45" s="25">
        <f>+E45/F45</f>
        <v>0.79500000000000004</v>
      </c>
      <c r="H45" s="11" t="s">
        <v>2</v>
      </c>
      <c r="I45" s="16">
        <v>200</v>
      </c>
      <c r="J45" s="25">
        <f t="shared" ref="J45:J53" si="12">+E45/I45</f>
        <v>0.79500000000000004</v>
      </c>
      <c r="K45" s="16">
        <v>174</v>
      </c>
    </row>
    <row r="46" spans="1:11" x14ac:dyDescent="0.2">
      <c r="A46" s="34" t="s">
        <v>212</v>
      </c>
      <c r="B46" s="9" t="s">
        <v>253</v>
      </c>
      <c r="C46" s="16">
        <v>0</v>
      </c>
      <c r="D46" s="11" t="s">
        <v>2</v>
      </c>
      <c r="E46" s="16">
        <v>0</v>
      </c>
      <c r="F46" s="16">
        <v>240</v>
      </c>
      <c r="G46" s="25">
        <v>0</v>
      </c>
      <c r="H46" s="11" t="s">
        <v>2</v>
      </c>
      <c r="I46" s="16">
        <v>240</v>
      </c>
      <c r="J46" s="25">
        <f t="shared" si="12"/>
        <v>0</v>
      </c>
      <c r="K46" s="16">
        <v>96</v>
      </c>
    </row>
    <row r="47" spans="1:11" x14ac:dyDescent="0.2">
      <c r="A47" s="80" t="s">
        <v>481</v>
      </c>
      <c r="B47" s="9"/>
      <c r="C47" s="16">
        <v>650</v>
      </c>
      <c r="D47" s="11"/>
      <c r="E47" s="16">
        <v>650</v>
      </c>
      <c r="F47" s="16">
        <v>0</v>
      </c>
      <c r="G47" s="25">
        <v>0</v>
      </c>
      <c r="H47" s="11"/>
      <c r="I47" s="16">
        <v>0</v>
      </c>
      <c r="J47" s="25">
        <v>0</v>
      </c>
      <c r="K47" s="16">
        <v>0</v>
      </c>
    </row>
    <row r="48" spans="1:11" x14ac:dyDescent="0.2">
      <c r="A48" s="34" t="s">
        <v>254</v>
      </c>
      <c r="B48" s="9" t="s">
        <v>255</v>
      </c>
      <c r="C48" s="16">
        <v>66693</v>
      </c>
      <c r="D48" s="11" t="s">
        <v>2</v>
      </c>
      <c r="E48" s="16">
        <f>66693+677393</f>
        <v>744086</v>
      </c>
      <c r="F48" s="16">
        <v>700066</v>
      </c>
      <c r="G48" s="25">
        <f t="shared" ref="G48:G53" si="13">+E48/F48</f>
        <v>1.062879785620213</v>
      </c>
      <c r="H48" s="11" t="s">
        <v>2</v>
      </c>
      <c r="I48" s="16">
        <v>700066</v>
      </c>
      <c r="J48" s="25">
        <f t="shared" si="12"/>
        <v>1.062879785620213</v>
      </c>
      <c r="K48" s="16">
        <v>565004</v>
      </c>
    </row>
    <row r="49" spans="1:11" x14ac:dyDescent="0.2">
      <c r="A49" s="34" t="s">
        <v>167</v>
      </c>
      <c r="B49" s="9" t="s">
        <v>256</v>
      </c>
      <c r="C49" s="16">
        <v>1559</v>
      </c>
      <c r="D49" s="11" t="s">
        <v>2</v>
      </c>
      <c r="E49" s="16">
        <f>1559+1586</f>
        <v>3145</v>
      </c>
      <c r="F49" s="16">
        <v>400</v>
      </c>
      <c r="G49" s="25">
        <f t="shared" si="13"/>
        <v>7.8624999999999998</v>
      </c>
      <c r="H49" s="11" t="s">
        <v>2</v>
      </c>
      <c r="I49" s="16">
        <v>400</v>
      </c>
      <c r="J49" s="25">
        <f t="shared" si="12"/>
        <v>7.8624999999999998</v>
      </c>
      <c r="K49" s="16">
        <v>534</v>
      </c>
    </row>
    <row r="50" spans="1:11" x14ac:dyDescent="0.2">
      <c r="A50" s="34" t="s">
        <v>98</v>
      </c>
      <c r="B50" s="9" t="s">
        <v>257</v>
      </c>
      <c r="C50" s="16">
        <v>474</v>
      </c>
      <c r="D50" s="11" t="s">
        <v>2</v>
      </c>
      <c r="E50" s="16">
        <f>474+389</f>
        <v>863</v>
      </c>
      <c r="F50" s="16">
        <v>120</v>
      </c>
      <c r="G50" s="25">
        <f t="shared" si="13"/>
        <v>7.1916666666666664</v>
      </c>
      <c r="H50" s="11" t="s">
        <v>2</v>
      </c>
      <c r="I50" s="16">
        <v>120</v>
      </c>
      <c r="J50" s="25">
        <f t="shared" si="12"/>
        <v>7.1916666666666664</v>
      </c>
      <c r="K50" s="16">
        <v>148</v>
      </c>
    </row>
    <row r="51" spans="1:11" x14ac:dyDescent="0.2">
      <c r="A51" s="34" t="s">
        <v>258</v>
      </c>
      <c r="B51" s="9" t="s">
        <v>259</v>
      </c>
      <c r="C51" s="16">
        <v>0</v>
      </c>
      <c r="D51" s="11" t="s">
        <v>2</v>
      </c>
      <c r="E51" s="16">
        <v>90</v>
      </c>
      <c r="F51" s="16">
        <v>0</v>
      </c>
      <c r="G51" s="25">
        <v>0</v>
      </c>
      <c r="H51" s="11" t="s">
        <v>2</v>
      </c>
      <c r="I51" s="16">
        <v>0</v>
      </c>
      <c r="J51" s="25">
        <v>0</v>
      </c>
      <c r="K51" s="16">
        <v>0</v>
      </c>
    </row>
    <row r="52" spans="1:11" x14ac:dyDescent="0.2">
      <c r="A52" s="34" t="s">
        <v>102</v>
      </c>
      <c r="B52" s="9" t="s">
        <v>260</v>
      </c>
      <c r="C52" s="16">
        <v>0</v>
      </c>
      <c r="D52" s="11" t="s">
        <v>2</v>
      </c>
      <c r="E52" s="16">
        <v>972</v>
      </c>
      <c r="F52" s="16">
        <v>600</v>
      </c>
      <c r="G52" s="25">
        <f t="shared" si="13"/>
        <v>1.62</v>
      </c>
      <c r="H52" s="11" t="s">
        <v>2</v>
      </c>
      <c r="I52" s="16">
        <v>600</v>
      </c>
      <c r="J52" s="25">
        <f t="shared" si="12"/>
        <v>1.62</v>
      </c>
      <c r="K52" s="16">
        <v>1029</v>
      </c>
    </row>
    <row r="53" spans="1:11" x14ac:dyDescent="0.2">
      <c r="A53" s="34" t="s">
        <v>151</v>
      </c>
      <c r="B53" s="9" t="s">
        <v>261</v>
      </c>
      <c r="C53" s="16">
        <v>0</v>
      </c>
      <c r="D53" s="11" t="s">
        <v>2</v>
      </c>
      <c r="E53" s="16">
        <v>429</v>
      </c>
      <c r="F53" s="16">
        <v>300</v>
      </c>
      <c r="G53" s="25">
        <f t="shared" si="13"/>
        <v>1.43</v>
      </c>
      <c r="H53" s="11" t="s">
        <v>2</v>
      </c>
      <c r="I53" s="16">
        <v>300</v>
      </c>
      <c r="J53" s="25">
        <f t="shared" si="12"/>
        <v>1.43</v>
      </c>
      <c r="K53" s="16">
        <v>1322</v>
      </c>
    </row>
    <row r="54" spans="1:11" x14ac:dyDescent="0.2">
      <c r="A54" s="34" t="s">
        <v>262</v>
      </c>
      <c r="B54" s="9" t="s">
        <v>263</v>
      </c>
      <c r="C54" s="16">
        <v>0</v>
      </c>
      <c r="D54" s="11" t="s">
        <v>2</v>
      </c>
      <c r="E54" s="16">
        <v>5410</v>
      </c>
      <c r="F54" s="16">
        <v>0</v>
      </c>
      <c r="G54" s="25">
        <v>0</v>
      </c>
      <c r="H54" s="11" t="s">
        <v>2</v>
      </c>
      <c r="I54" s="16">
        <v>0</v>
      </c>
      <c r="J54" s="25">
        <v>0</v>
      </c>
      <c r="K54" s="16">
        <v>0</v>
      </c>
    </row>
    <row r="55" spans="1:11" x14ac:dyDescent="0.2">
      <c r="A55" s="34" t="s">
        <v>264</v>
      </c>
      <c r="B55" s="9" t="s">
        <v>265</v>
      </c>
      <c r="C55" s="16">
        <v>1857</v>
      </c>
      <c r="D55" s="11" t="s">
        <v>2</v>
      </c>
      <c r="E55" s="16">
        <v>1857</v>
      </c>
      <c r="F55" s="16">
        <v>0</v>
      </c>
      <c r="G55" s="25">
        <v>0</v>
      </c>
      <c r="H55" s="11" t="s">
        <v>2</v>
      </c>
      <c r="I55" s="16">
        <v>0</v>
      </c>
      <c r="J55" s="25">
        <v>0</v>
      </c>
      <c r="K55" s="16">
        <v>8600</v>
      </c>
    </row>
    <row r="56" spans="1:11" x14ac:dyDescent="0.2">
      <c r="A56" s="34" t="s">
        <v>153</v>
      </c>
      <c r="B56" s="9" t="s">
        <v>266</v>
      </c>
      <c r="C56" s="16">
        <v>595</v>
      </c>
      <c r="D56" s="11" t="s">
        <v>2</v>
      </c>
      <c r="E56" s="16">
        <f>597+400</f>
        <v>997</v>
      </c>
      <c r="F56" s="16">
        <v>0</v>
      </c>
      <c r="G56" s="25">
        <v>0</v>
      </c>
      <c r="H56" s="11" t="s">
        <v>2</v>
      </c>
      <c r="I56" s="16">
        <v>0</v>
      </c>
      <c r="J56" s="25">
        <v>0</v>
      </c>
      <c r="K56" s="16">
        <v>0</v>
      </c>
    </row>
    <row r="57" spans="1:11" x14ac:dyDescent="0.2">
      <c r="A57" s="9"/>
      <c r="B57" s="9"/>
      <c r="C57" s="10"/>
      <c r="D57" s="11" t="s">
        <v>2</v>
      </c>
      <c r="E57" s="10"/>
      <c r="F57" s="10"/>
      <c r="G57" s="10"/>
      <c r="H57" s="11" t="s">
        <v>2</v>
      </c>
      <c r="I57" s="10"/>
      <c r="J57" s="10"/>
      <c r="K57" s="10"/>
    </row>
    <row r="58" spans="1:11" x14ac:dyDescent="0.2">
      <c r="A58" s="37" t="s">
        <v>267</v>
      </c>
      <c r="B58" s="12"/>
      <c r="C58" s="13"/>
      <c r="D58" s="1" t="s">
        <v>2</v>
      </c>
      <c r="E58" s="13"/>
      <c r="F58" s="13"/>
      <c r="G58" s="13"/>
      <c r="H58" s="1" t="s">
        <v>2</v>
      </c>
      <c r="I58" s="13"/>
      <c r="J58" s="13"/>
      <c r="K58" s="13"/>
    </row>
    <row r="59" spans="1:11" x14ac:dyDescent="0.2">
      <c r="A59" s="34" t="s">
        <v>268</v>
      </c>
      <c r="B59" s="9" t="s">
        <v>269</v>
      </c>
      <c r="C59" s="16">
        <v>271</v>
      </c>
      <c r="D59" s="11" t="s">
        <v>2</v>
      </c>
      <c r="E59" s="16">
        <f>271+815</f>
        <v>1086</v>
      </c>
      <c r="F59" s="16">
        <v>1200</v>
      </c>
      <c r="G59" s="25">
        <f t="shared" ref="G59:G65" si="14">+E59/F59</f>
        <v>0.90500000000000003</v>
      </c>
      <c r="H59" s="11" t="s">
        <v>2</v>
      </c>
      <c r="I59" s="16">
        <v>1200</v>
      </c>
      <c r="J59" s="25">
        <f t="shared" ref="J59:J65" si="15">+E59/I59</f>
        <v>0.90500000000000003</v>
      </c>
      <c r="K59" s="16">
        <v>736</v>
      </c>
    </row>
    <row r="60" spans="1:11" x14ac:dyDescent="0.2">
      <c r="A60" s="34" t="s">
        <v>270</v>
      </c>
      <c r="B60" s="9" t="s">
        <v>271</v>
      </c>
      <c r="C60" s="16">
        <v>0</v>
      </c>
      <c r="D60" s="11" t="s">
        <v>2</v>
      </c>
      <c r="E60" s="16">
        <v>11</v>
      </c>
      <c r="F60" s="16">
        <v>0</v>
      </c>
      <c r="G60" s="25">
        <v>0</v>
      </c>
      <c r="H60" s="11" t="s">
        <v>2</v>
      </c>
      <c r="I60" s="16">
        <v>0</v>
      </c>
      <c r="J60" s="25">
        <v>0</v>
      </c>
      <c r="K60" s="16">
        <v>0</v>
      </c>
    </row>
    <row r="61" spans="1:11" x14ac:dyDescent="0.2">
      <c r="A61" s="34" t="s">
        <v>272</v>
      </c>
      <c r="B61" s="9" t="s">
        <v>273</v>
      </c>
      <c r="C61" s="16">
        <v>2080</v>
      </c>
      <c r="D61" s="11" t="s">
        <v>2</v>
      </c>
      <c r="E61" s="16">
        <f>2080+25929</f>
        <v>28009</v>
      </c>
      <c r="F61" s="16">
        <v>25000</v>
      </c>
      <c r="G61" s="25">
        <f t="shared" si="14"/>
        <v>1.12036</v>
      </c>
      <c r="H61" s="11" t="s">
        <v>2</v>
      </c>
      <c r="I61" s="16">
        <v>25000</v>
      </c>
      <c r="J61" s="25">
        <f t="shared" si="15"/>
        <v>1.12036</v>
      </c>
      <c r="K61" s="16">
        <v>30035</v>
      </c>
    </row>
    <row r="62" spans="1:11" x14ac:dyDescent="0.2">
      <c r="A62" s="34" t="s">
        <v>100</v>
      </c>
      <c r="B62" s="9" t="s">
        <v>274</v>
      </c>
      <c r="C62" s="16">
        <v>134</v>
      </c>
      <c r="D62" s="11" t="s">
        <v>2</v>
      </c>
      <c r="E62" s="16">
        <f>134+266</f>
        <v>400</v>
      </c>
      <c r="F62" s="16">
        <v>300</v>
      </c>
      <c r="G62" s="25">
        <f t="shared" si="14"/>
        <v>1.3333333333333333</v>
      </c>
      <c r="H62" s="11" t="s">
        <v>2</v>
      </c>
      <c r="I62" s="16">
        <v>300</v>
      </c>
      <c r="J62" s="25">
        <f t="shared" si="15"/>
        <v>1.3333333333333333</v>
      </c>
      <c r="K62" s="16">
        <v>360</v>
      </c>
    </row>
    <row r="63" spans="1:11" x14ac:dyDescent="0.2">
      <c r="A63" s="34" t="s">
        <v>146</v>
      </c>
      <c r="B63" s="9" t="s">
        <v>275</v>
      </c>
      <c r="C63" s="16">
        <v>2</v>
      </c>
      <c r="D63" s="11" t="s">
        <v>2</v>
      </c>
      <c r="E63" s="16">
        <v>2</v>
      </c>
      <c r="F63" s="16">
        <v>250</v>
      </c>
      <c r="G63" s="25">
        <f t="shared" si="14"/>
        <v>8.0000000000000002E-3</v>
      </c>
      <c r="H63" s="11" t="s">
        <v>2</v>
      </c>
      <c r="I63" s="16">
        <v>250</v>
      </c>
      <c r="J63" s="25">
        <f t="shared" si="15"/>
        <v>8.0000000000000002E-3</v>
      </c>
      <c r="K63" s="16">
        <v>185</v>
      </c>
    </row>
    <row r="64" spans="1:11" x14ac:dyDescent="0.2">
      <c r="A64" s="34" t="s">
        <v>151</v>
      </c>
      <c r="B64" s="9" t="s">
        <v>276</v>
      </c>
      <c r="C64" s="16">
        <v>636</v>
      </c>
      <c r="D64" s="11" t="s">
        <v>2</v>
      </c>
      <c r="E64" s="16">
        <f>636+894</f>
        <v>1530</v>
      </c>
      <c r="F64" s="16">
        <v>1600</v>
      </c>
      <c r="G64" s="25">
        <f t="shared" si="14"/>
        <v>0.95625000000000004</v>
      </c>
      <c r="H64" s="11" t="s">
        <v>2</v>
      </c>
      <c r="I64" s="16">
        <v>1600</v>
      </c>
      <c r="J64" s="25">
        <f t="shared" si="15"/>
        <v>0.95625000000000004</v>
      </c>
      <c r="K64" s="16">
        <v>2637</v>
      </c>
    </row>
    <row r="65" spans="1:11" x14ac:dyDescent="0.2">
      <c r="A65" s="34" t="s">
        <v>277</v>
      </c>
      <c r="B65" s="9" t="s">
        <v>278</v>
      </c>
      <c r="C65" s="16">
        <v>425</v>
      </c>
      <c r="D65" s="11" t="s">
        <v>2</v>
      </c>
      <c r="E65" s="16">
        <f>425+2191</f>
        <v>2616</v>
      </c>
      <c r="F65" s="16">
        <v>2100</v>
      </c>
      <c r="G65" s="25">
        <f t="shared" si="14"/>
        <v>1.2457142857142858</v>
      </c>
      <c r="H65" s="11" t="s">
        <v>2</v>
      </c>
      <c r="I65" s="16">
        <v>2100</v>
      </c>
      <c r="J65" s="25">
        <f t="shared" si="15"/>
        <v>1.2457142857142858</v>
      </c>
      <c r="K65" s="16">
        <v>2614</v>
      </c>
    </row>
    <row r="66" spans="1:11" x14ac:dyDescent="0.2">
      <c r="A66" s="34" t="s">
        <v>279</v>
      </c>
      <c r="B66" s="9" t="s">
        <v>280</v>
      </c>
      <c r="C66" s="16">
        <v>0</v>
      </c>
      <c r="D66" s="11" t="s">
        <v>2</v>
      </c>
      <c r="E66" s="16">
        <v>25288</v>
      </c>
      <c r="F66" s="16">
        <v>0</v>
      </c>
      <c r="G66" s="25">
        <v>0</v>
      </c>
      <c r="H66" s="11" t="s">
        <v>2</v>
      </c>
      <c r="I66" s="16">
        <v>0</v>
      </c>
      <c r="J66" s="25">
        <v>0</v>
      </c>
      <c r="K66" s="16">
        <v>0</v>
      </c>
    </row>
    <row r="67" spans="1:11" x14ac:dyDescent="0.2">
      <c r="A67" s="9"/>
      <c r="B67" s="9"/>
      <c r="C67" s="10"/>
      <c r="D67" s="11" t="s">
        <v>2</v>
      </c>
      <c r="E67" s="10"/>
      <c r="F67" s="10"/>
      <c r="G67" s="10"/>
      <c r="H67" s="11" t="s">
        <v>2</v>
      </c>
      <c r="I67" s="10"/>
      <c r="J67" s="10"/>
      <c r="K67" s="10"/>
    </row>
    <row r="68" spans="1:11" x14ac:dyDescent="0.2">
      <c r="A68" s="37" t="s">
        <v>281</v>
      </c>
      <c r="B68" s="12"/>
      <c r="C68" s="13"/>
      <c r="D68" s="1" t="s">
        <v>2</v>
      </c>
      <c r="E68" s="13"/>
      <c r="F68" s="13"/>
      <c r="G68" s="25"/>
      <c r="H68" s="1" t="s">
        <v>2</v>
      </c>
      <c r="I68" s="13"/>
      <c r="J68" s="13"/>
      <c r="K68" s="13"/>
    </row>
    <row r="69" spans="1:11" x14ac:dyDescent="0.2">
      <c r="A69" s="34" t="s">
        <v>282</v>
      </c>
      <c r="B69" s="9" t="s">
        <v>283</v>
      </c>
      <c r="C69" s="16">
        <v>0</v>
      </c>
      <c r="D69" s="11" t="s">
        <v>2</v>
      </c>
      <c r="E69" s="16">
        <v>14750</v>
      </c>
      <c r="F69" s="16">
        <v>10000</v>
      </c>
      <c r="G69" s="25">
        <f>+E69/F69</f>
        <v>1.4750000000000001</v>
      </c>
      <c r="H69" s="11" t="s">
        <v>2</v>
      </c>
      <c r="I69" s="16">
        <v>10000</v>
      </c>
      <c r="J69" s="25">
        <f t="shared" ref="J69" si="16">+E69/I69</f>
        <v>1.4750000000000001</v>
      </c>
      <c r="K69" s="16">
        <v>6500</v>
      </c>
    </row>
    <row r="70" spans="1:11" x14ac:dyDescent="0.2">
      <c r="A70" s="34" t="s">
        <v>284</v>
      </c>
      <c r="B70" s="9" t="s">
        <v>285</v>
      </c>
      <c r="C70" s="16">
        <v>755</v>
      </c>
      <c r="D70" s="11" t="s">
        <v>2</v>
      </c>
      <c r="E70" s="16">
        <f>755+8627</f>
        <v>9382</v>
      </c>
      <c r="F70" s="16">
        <v>0</v>
      </c>
      <c r="G70" s="25">
        <v>0</v>
      </c>
      <c r="H70" s="11" t="s">
        <v>2</v>
      </c>
      <c r="I70" s="16">
        <v>0</v>
      </c>
      <c r="J70" s="25">
        <v>0</v>
      </c>
      <c r="K70" s="16">
        <v>0</v>
      </c>
    </row>
    <row r="71" spans="1:11" x14ac:dyDescent="0.2">
      <c r="A71" s="80" t="s">
        <v>476</v>
      </c>
      <c r="B71" s="9"/>
      <c r="C71" s="16">
        <v>9966</v>
      </c>
      <c r="D71" s="11"/>
      <c r="E71" s="16">
        <v>9966</v>
      </c>
      <c r="F71" s="16">
        <v>0</v>
      </c>
      <c r="G71" s="25">
        <v>0</v>
      </c>
      <c r="H71" s="11"/>
      <c r="I71" s="16">
        <v>0</v>
      </c>
      <c r="J71" s="25"/>
      <c r="K71" s="16"/>
    </row>
    <row r="72" spans="1:11" x14ac:dyDescent="0.2">
      <c r="A72" s="34" t="s">
        <v>192</v>
      </c>
      <c r="B72" s="9" t="s">
        <v>286</v>
      </c>
      <c r="C72" s="16">
        <v>0</v>
      </c>
      <c r="D72" s="11" t="s">
        <v>2</v>
      </c>
      <c r="E72" s="16">
        <v>3261</v>
      </c>
      <c r="F72" s="16">
        <v>0</v>
      </c>
      <c r="G72" s="25">
        <v>0</v>
      </c>
      <c r="H72" s="11" t="s">
        <v>2</v>
      </c>
      <c r="I72" s="16">
        <v>0</v>
      </c>
      <c r="J72" s="25">
        <v>0</v>
      </c>
      <c r="K72" s="16">
        <v>3205</v>
      </c>
    </row>
    <row r="73" spans="1:11" x14ac:dyDescent="0.2">
      <c r="A73" s="9"/>
      <c r="B73" s="9"/>
      <c r="C73" s="19"/>
      <c r="D73" s="11" t="s">
        <v>2</v>
      </c>
      <c r="E73" s="19"/>
      <c r="F73" s="19"/>
      <c r="G73" s="19"/>
      <c r="H73" s="11" t="s">
        <v>2</v>
      </c>
      <c r="I73" s="19"/>
      <c r="J73" s="19"/>
      <c r="K73" s="19"/>
    </row>
    <row r="74" spans="1:11" x14ac:dyDescent="0.2">
      <c r="A74" s="12" t="s">
        <v>287</v>
      </c>
      <c r="B74" s="12"/>
      <c r="C74" s="18">
        <f>SUM(C44:C73)</f>
        <v>86248</v>
      </c>
      <c r="D74" s="1" t="s">
        <v>2</v>
      </c>
      <c r="E74" s="18">
        <f t="shared" ref="E74:F74" si="17">SUM(E44:E73)</f>
        <v>854959</v>
      </c>
      <c r="F74" s="18">
        <f t="shared" si="17"/>
        <v>742376</v>
      </c>
      <c r="G74" s="35">
        <f>+E74/F74</f>
        <v>1.1516522624653813</v>
      </c>
      <c r="H74" s="1" t="s">
        <v>2</v>
      </c>
      <c r="I74" s="18">
        <f t="shared" ref="I74:K74" si="18">SUM(I44:I73)</f>
        <v>742376</v>
      </c>
      <c r="J74" s="35">
        <f>+E74/I74</f>
        <v>1.1516522624653813</v>
      </c>
      <c r="K74" s="18">
        <f t="shared" si="18"/>
        <v>623179</v>
      </c>
    </row>
    <row r="75" spans="1:11" x14ac:dyDescent="0.2">
      <c r="A75" s="9"/>
      <c r="B75" s="9"/>
      <c r="C75" s="10"/>
      <c r="D75" s="11" t="s">
        <v>2</v>
      </c>
      <c r="E75" s="10"/>
      <c r="F75" s="10"/>
      <c r="G75" s="10"/>
      <c r="H75" s="11" t="s">
        <v>2</v>
      </c>
      <c r="I75" s="10"/>
      <c r="J75" s="10"/>
      <c r="K75" s="10"/>
    </row>
    <row r="76" spans="1:11" x14ac:dyDescent="0.2">
      <c r="A76" s="12" t="s">
        <v>288</v>
      </c>
      <c r="B76" s="12"/>
      <c r="C76" s="13"/>
      <c r="D76" s="1" t="s">
        <v>2</v>
      </c>
      <c r="E76" s="13"/>
      <c r="F76" s="13"/>
      <c r="G76" s="13"/>
      <c r="H76" s="1" t="s">
        <v>2</v>
      </c>
      <c r="I76" s="13"/>
      <c r="J76" s="13"/>
      <c r="K76" s="13"/>
    </row>
    <row r="77" spans="1:11" x14ac:dyDescent="0.2">
      <c r="A77" s="14" t="s">
        <v>289</v>
      </c>
      <c r="B77" s="9" t="s">
        <v>290</v>
      </c>
      <c r="C77" s="16">
        <v>0</v>
      </c>
      <c r="D77" s="11" t="s">
        <v>2</v>
      </c>
      <c r="E77" s="16">
        <v>0</v>
      </c>
      <c r="F77" s="16">
        <v>15000</v>
      </c>
      <c r="G77" s="25">
        <v>0</v>
      </c>
      <c r="H77" s="11" t="s">
        <v>2</v>
      </c>
      <c r="I77" s="16">
        <v>15000</v>
      </c>
      <c r="J77" s="25">
        <v>0</v>
      </c>
      <c r="K77" s="16">
        <v>0</v>
      </c>
    </row>
    <row r="78" spans="1:11" x14ac:dyDescent="0.2">
      <c r="A78" s="9"/>
      <c r="B78" s="9"/>
      <c r="C78" s="19"/>
      <c r="D78" s="11" t="s">
        <v>2</v>
      </c>
      <c r="E78" s="19"/>
      <c r="F78" s="19"/>
      <c r="G78" s="19"/>
      <c r="H78" s="11" t="s">
        <v>2</v>
      </c>
      <c r="I78" s="19"/>
      <c r="J78" s="19"/>
      <c r="K78" s="19"/>
    </row>
    <row r="79" spans="1:11" x14ac:dyDescent="0.2">
      <c r="A79" s="12" t="s">
        <v>291</v>
      </c>
      <c r="B79" s="12"/>
      <c r="C79" s="18">
        <f>SUM(C77:C78)</f>
        <v>0</v>
      </c>
      <c r="D79" s="1" t="s">
        <v>2</v>
      </c>
      <c r="E79" s="18">
        <f t="shared" ref="E79:F79" si="19">SUM(E77:E78)</f>
        <v>0</v>
      </c>
      <c r="F79" s="18">
        <f t="shared" si="19"/>
        <v>15000</v>
      </c>
      <c r="G79" s="35">
        <v>0</v>
      </c>
      <c r="H79" s="1" t="s">
        <v>2</v>
      </c>
      <c r="I79" s="18">
        <f t="shared" ref="I79:K79" si="20">SUM(I77:I78)</f>
        <v>15000</v>
      </c>
      <c r="J79" s="35">
        <v>0</v>
      </c>
      <c r="K79" s="18">
        <f t="shared" si="20"/>
        <v>0</v>
      </c>
    </row>
    <row r="80" spans="1:11" x14ac:dyDescent="0.2">
      <c r="A80" s="9"/>
      <c r="B80" s="9"/>
      <c r="C80" s="10"/>
      <c r="D80" s="11" t="s">
        <v>2</v>
      </c>
      <c r="E80" s="10"/>
      <c r="F80" s="10"/>
      <c r="G80" s="10"/>
      <c r="H80" s="11" t="s">
        <v>2</v>
      </c>
      <c r="I80" s="10"/>
      <c r="J80" s="10"/>
      <c r="K80" s="10"/>
    </row>
    <row r="81" spans="1:11" x14ac:dyDescent="0.2">
      <c r="A81" s="12" t="s">
        <v>292</v>
      </c>
      <c r="B81" s="12"/>
      <c r="C81" s="13"/>
      <c r="D81" s="1" t="s">
        <v>2</v>
      </c>
      <c r="E81" s="13"/>
      <c r="F81" s="13"/>
      <c r="G81" s="13"/>
      <c r="H81" s="1" t="s">
        <v>2</v>
      </c>
      <c r="I81" s="13"/>
      <c r="J81" s="13"/>
      <c r="K81" s="13"/>
    </row>
    <row r="82" spans="1:11" x14ac:dyDescent="0.2">
      <c r="A82" s="14" t="s">
        <v>136</v>
      </c>
      <c r="B82" s="9" t="s">
        <v>293</v>
      </c>
      <c r="C82" s="16">
        <v>0</v>
      </c>
      <c r="D82" s="11" t="s">
        <v>2</v>
      </c>
      <c r="E82" s="16">
        <v>86</v>
      </c>
      <c r="F82" s="16">
        <v>0</v>
      </c>
      <c r="G82" s="25">
        <v>0</v>
      </c>
      <c r="H82" s="11" t="s">
        <v>2</v>
      </c>
      <c r="I82" s="16">
        <v>0</v>
      </c>
      <c r="J82" s="25">
        <v>0</v>
      </c>
      <c r="K82" s="16">
        <v>194</v>
      </c>
    </row>
    <row r="83" spans="1:11" x14ac:dyDescent="0.2">
      <c r="A83" s="14" t="s">
        <v>159</v>
      </c>
      <c r="B83" s="9" t="s">
        <v>294</v>
      </c>
      <c r="C83" s="16">
        <v>0</v>
      </c>
      <c r="D83" s="11" t="s">
        <v>2</v>
      </c>
      <c r="E83" s="16">
        <v>0</v>
      </c>
      <c r="F83" s="16">
        <v>200</v>
      </c>
      <c r="G83" s="25">
        <v>0</v>
      </c>
      <c r="H83" s="11" t="s">
        <v>2</v>
      </c>
      <c r="I83" s="16">
        <v>200</v>
      </c>
      <c r="J83" s="25">
        <v>0</v>
      </c>
      <c r="K83" s="16">
        <v>130</v>
      </c>
    </row>
    <row r="84" spans="1:11" x14ac:dyDescent="0.2">
      <c r="A84" s="14" t="s">
        <v>138</v>
      </c>
      <c r="B84" s="9" t="s">
        <v>295</v>
      </c>
      <c r="C84" s="16">
        <v>0</v>
      </c>
      <c r="D84" s="11" t="s">
        <v>2</v>
      </c>
      <c r="E84" s="16">
        <v>41</v>
      </c>
      <c r="F84" s="16">
        <v>0</v>
      </c>
      <c r="G84" s="25">
        <v>0</v>
      </c>
      <c r="H84" s="11" t="s">
        <v>2</v>
      </c>
      <c r="I84" s="16">
        <v>0</v>
      </c>
      <c r="J84" s="25">
        <v>0</v>
      </c>
      <c r="K84" s="16">
        <v>140</v>
      </c>
    </row>
    <row r="85" spans="1:11" x14ac:dyDescent="0.2">
      <c r="A85" s="14" t="s">
        <v>112</v>
      </c>
      <c r="B85" s="9" t="s">
        <v>296</v>
      </c>
      <c r="C85" s="16">
        <v>0</v>
      </c>
      <c r="D85" s="11" t="s">
        <v>2</v>
      </c>
      <c r="E85" s="16">
        <v>0</v>
      </c>
      <c r="F85" s="16">
        <v>26500</v>
      </c>
      <c r="G85" s="25">
        <v>0</v>
      </c>
      <c r="H85" s="11" t="s">
        <v>2</v>
      </c>
      <c r="I85" s="16">
        <v>26500</v>
      </c>
      <c r="J85" s="25">
        <v>0</v>
      </c>
      <c r="K85" s="16">
        <v>0</v>
      </c>
    </row>
    <row r="86" spans="1:11" x14ac:dyDescent="0.2">
      <c r="A86" s="14" t="s">
        <v>167</v>
      </c>
      <c r="B86" s="9" t="s">
        <v>297</v>
      </c>
      <c r="C86" s="16">
        <v>194</v>
      </c>
      <c r="D86" s="11" t="s">
        <v>2</v>
      </c>
      <c r="E86" s="16">
        <f>194+1283</f>
        <v>1477</v>
      </c>
      <c r="F86" s="16">
        <v>500</v>
      </c>
      <c r="G86" s="25">
        <f t="shared" ref="G86:G88" si="21">+E86/F86</f>
        <v>2.9540000000000002</v>
      </c>
      <c r="H86" s="11" t="s">
        <v>2</v>
      </c>
      <c r="I86" s="16">
        <v>500</v>
      </c>
      <c r="J86" s="25">
        <f t="shared" ref="J86:J88" si="22">+E86/I86</f>
        <v>2.9540000000000002</v>
      </c>
      <c r="K86" s="16">
        <v>888</v>
      </c>
    </row>
    <row r="87" spans="1:11" x14ac:dyDescent="0.2">
      <c r="A87" s="14" t="s">
        <v>98</v>
      </c>
      <c r="B87" s="9" t="s">
        <v>298</v>
      </c>
      <c r="C87" s="16">
        <v>156</v>
      </c>
      <c r="D87" s="11" t="s">
        <v>2</v>
      </c>
      <c r="E87" s="16">
        <f>157+979</f>
        <v>1136</v>
      </c>
      <c r="F87" s="16">
        <v>1200</v>
      </c>
      <c r="G87" s="25">
        <f t="shared" si="21"/>
        <v>0.94666666666666666</v>
      </c>
      <c r="H87" s="11" t="s">
        <v>2</v>
      </c>
      <c r="I87" s="16">
        <v>1200</v>
      </c>
      <c r="J87" s="25">
        <f t="shared" si="22"/>
        <v>0.94666666666666666</v>
      </c>
      <c r="K87" s="16">
        <v>1263</v>
      </c>
    </row>
    <row r="88" spans="1:11" x14ac:dyDescent="0.2">
      <c r="A88" s="14" t="s">
        <v>102</v>
      </c>
      <c r="B88" s="9" t="s">
        <v>299</v>
      </c>
      <c r="C88" s="16">
        <v>1687</v>
      </c>
      <c r="D88" s="11" t="s">
        <v>2</v>
      </c>
      <c r="E88" s="16">
        <f>1687+7444</f>
        <v>9131</v>
      </c>
      <c r="F88" s="16">
        <v>1800</v>
      </c>
      <c r="G88" s="25">
        <f t="shared" si="21"/>
        <v>5.0727777777777776</v>
      </c>
      <c r="H88" s="11" t="s">
        <v>2</v>
      </c>
      <c r="I88" s="16">
        <v>1800</v>
      </c>
      <c r="J88" s="25">
        <f t="shared" si="22"/>
        <v>5.0727777777777776</v>
      </c>
      <c r="K88" s="16">
        <v>1992</v>
      </c>
    </row>
    <row r="89" spans="1:11" x14ac:dyDescent="0.2">
      <c r="A89" s="14" t="s">
        <v>151</v>
      </c>
      <c r="B89" s="9" t="s">
        <v>300</v>
      </c>
      <c r="C89" s="16">
        <v>0</v>
      </c>
      <c r="D89" s="11" t="s">
        <v>2</v>
      </c>
      <c r="E89" s="16">
        <v>0</v>
      </c>
      <c r="F89" s="16">
        <v>0</v>
      </c>
      <c r="G89" s="25">
        <v>0</v>
      </c>
      <c r="H89" s="11" t="s">
        <v>2</v>
      </c>
      <c r="I89" s="16">
        <v>0</v>
      </c>
      <c r="J89" s="25">
        <v>0</v>
      </c>
      <c r="K89" s="16">
        <v>32</v>
      </c>
    </row>
    <row r="90" spans="1:11" x14ac:dyDescent="0.2">
      <c r="A90" s="9"/>
      <c r="B90" s="9"/>
      <c r="C90" s="10"/>
      <c r="D90" s="11" t="s">
        <v>2</v>
      </c>
      <c r="E90" s="10"/>
      <c r="F90" s="10"/>
      <c r="G90" s="10"/>
      <c r="H90" s="11" t="s">
        <v>2</v>
      </c>
      <c r="I90" s="10"/>
      <c r="J90" s="10"/>
      <c r="K90" s="10"/>
    </row>
    <row r="91" spans="1:11" x14ac:dyDescent="0.2">
      <c r="A91" s="12" t="s">
        <v>301</v>
      </c>
      <c r="B91" s="12"/>
      <c r="C91" s="13"/>
      <c r="D91" s="1" t="s">
        <v>2</v>
      </c>
      <c r="E91" s="13"/>
      <c r="F91" s="13"/>
      <c r="G91" s="13"/>
      <c r="H91" s="1" t="s">
        <v>2</v>
      </c>
      <c r="I91" s="13"/>
      <c r="J91" s="13"/>
      <c r="K91" s="13"/>
    </row>
    <row r="92" spans="1:11" x14ac:dyDescent="0.2">
      <c r="A92" s="14" t="s">
        <v>212</v>
      </c>
      <c r="B92" s="9" t="s">
        <v>302</v>
      </c>
      <c r="C92" s="16">
        <v>0</v>
      </c>
      <c r="D92" s="11" t="s">
        <v>2</v>
      </c>
      <c r="E92" s="16">
        <v>0</v>
      </c>
      <c r="F92" s="16">
        <v>400</v>
      </c>
      <c r="G92" s="25">
        <v>0</v>
      </c>
      <c r="H92" s="11" t="s">
        <v>2</v>
      </c>
      <c r="I92" s="16">
        <v>400</v>
      </c>
      <c r="J92" s="25">
        <v>0</v>
      </c>
      <c r="K92" s="16">
        <v>400</v>
      </c>
    </row>
    <row r="93" spans="1:11" x14ac:dyDescent="0.2">
      <c r="A93" s="14" t="s">
        <v>303</v>
      </c>
      <c r="B93" s="9" t="s">
        <v>304</v>
      </c>
      <c r="C93" s="16">
        <v>0</v>
      </c>
      <c r="D93" s="11" t="s">
        <v>2</v>
      </c>
      <c r="E93" s="16">
        <v>0</v>
      </c>
      <c r="F93" s="16">
        <v>400</v>
      </c>
      <c r="G93" s="25">
        <v>0</v>
      </c>
      <c r="H93" s="11" t="s">
        <v>2</v>
      </c>
      <c r="I93" s="16">
        <v>400</v>
      </c>
      <c r="J93" s="25">
        <v>0</v>
      </c>
      <c r="K93" s="16">
        <v>298</v>
      </c>
    </row>
    <row r="94" spans="1:11" x14ac:dyDescent="0.2">
      <c r="A94" s="14" t="s">
        <v>138</v>
      </c>
      <c r="B94" s="9" t="s">
        <v>305</v>
      </c>
      <c r="C94" s="16">
        <v>0</v>
      </c>
      <c r="D94" s="11" t="s">
        <v>2</v>
      </c>
      <c r="E94" s="16">
        <v>0</v>
      </c>
      <c r="F94" s="16">
        <v>400</v>
      </c>
      <c r="G94" s="25">
        <v>0</v>
      </c>
      <c r="H94" s="11" t="s">
        <v>2</v>
      </c>
      <c r="I94" s="16">
        <v>400</v>
      </c>
      <c r="J94" s="25">
        <v>0</v>
      </c>
      <c r="K94" s="16">
        <v>357</v>
      </c>
    </row>
    <row r="95" spans="1:11" x14ac:dyDescent="0.2">
      <c r="A95" s="14" t="s">
        <v>167</v>
      </c>
      <c r="B95" s="9" t="s">
        <v>306</v>
      </c>
      <c r="C95" s="16">
        <v>0</v>
      </c>
      <c r="D95" s="11" t="s">
        <v>2</v>
      </c>
      <c r="E95" s="16">
        <v>545</v>
      </c>
      <c r="F95" s="16">
        <v>1200</v>
      </c>
      <c r="G95" s="25">
        <f t="shared" ref="G95:G97" si="23">+E95/F95</f>
        <v>0.45416666666666666</v>
      </c>
      <c r="H95" s="11" t="s">
        <v>2</v>
      </c>
      <c r="I95" s="16">
        <v>1200</v>
      </c>
      <c r="J95" s="25">
        <f t="shared" ref="J95:J97" si="24">+E95/I95</f>
        <v>0.45416666666666666</v>
      </c>
      <c r="K95" s="16">
        <v>2643</v>
      </c>
    </row>
    <row r="96" spans="1:11" x14ac:dyDescent="0.2">
      <c r="A96" s="14" t="s">
        <v>98</v>
      </c>
      <c r="B96" s="9" t="s">
        <v>307</v>
      </c>
      <c r="C96" s="16">
        <v>0</v>
      </c>
      <c r="D96" s="11" t="s">
        <v>2</v>
      </c>
      <c r="E96" s="16">
        <v>0</v>
      </c>
      <c r="F96" s="16">
        <v>100</v>
      </c>
      <c r="G96" s="25">
        <f t="shared" si="23"/>
        <v>0</v>
      </c>
      <c r="H96" s="11" t="s">
        <v>2</v>
      </c>
      <c r="I96" s="16">
        <v>100</v>
      </c>
      <c r="J96" s="25">
        <f t="shared" si="24"/>
        <v>0</v>
      </c>
      <c r="K96" s="16">
        <v>0</v>
      </c>
    </row>
    <row r="97" spans="1:11" x14ac:dyDescent="0.2">
      <c r="A97" s="14" t="s">
        <v>102</v>
      </c>
      <c r="B97" s="9" t="s">
        <v>308</v>
      </c>
      <c r="C97" s="16">
        <v>0</v>
      </c>
      <c r="D97" s="11" t="s">
        <v>2</v>
      </c>
      <c r="E97" s="16">
        <v>2185</v>
      </c>
      <c r="F97" s="16">
        <v>1800</v>
      </c>
      <c r="G97" s="25">
        <f t="shared" si="23"/>
        <v>1.2138888888888888</v>
      </c>
      <c r="H97" s="11" t="s">
        <v>2</v>
      </c>
      <c r="I97" s="16">
        <v>1800</v>
      </c>
      <c r="J97" s="25">
        <f t="shared" si="24"/>
        <v>1.2138888888888888</v>
      </c>
      <c r="K97" s="16">
        <v>703</v>
      </c>
    </row>
    <row r="98" spans="1:11" x14ac:dyDescent="0.2">
      <c r="A98" s="9"/>
      <c r="B98" s="9"/>
      <c r="C98" s="19"/>
      <c r="D98" s="11" t="s">
        <v>2</v>
      </c>
      <c r="E98" s="19"/>
      <c r="F98" s="19"/>
      <c r="G98" s="19"/>
      <c r="H98" s="11" t="s">
        <v>2</v>
      </c>
      <c r="I98" s="19"/>
      <c r="J98" s="19"/>
      <c r="K98" s="19"/>
    </row>
    <row r="99" spans="1:11" x14ac:dyDescent="0.2">
      <c r="A99" s="12" t="s">
        <v>309</v>
      </c>
      <c r="B99" s="12"/>
      <c r="C99" s="18">
        <f>SUM(C82:C98)</f>
        <v>2037</v>
      </c>
      <c r="D99" s="1" t="s">
        <v>2</v>
      </c>
      <c r="E99" s="18">
        <f t="shared" ref="E99:F99" si="25">SUM(E82:E98)</f>
        <v>14601</v>
      </c>
      <c r="F99" s="18">
        <f t="shared" si="25"/>
        <v>34500</v>
      </c>
      <c r="G99" s="35">
        <f>+E99/F99</f>
        <v>0.42321739130434782</v>
      </c>
      <c r="H99" s="1" t="s">
        <v>2</v>
      </c>
      <c r="I99" s="18">
        <f t="shared" ref="I99:K99" si="26">SUM(I82:I98)</f>
        <v>34500</v>
      </c>
      <c r="J99" s="35">
        <f>+E99/I99</f>
        <v>0.42321739130434782</v>
      </c>
      <c r="K99" s="18">
        <f t="shared" si="26"/>
        <v>9040</v>
      </c>
    </row>
    <row r="100" spans="1:11" x14ac:dyDescent="0.2">
      <c r="A100" s="9"/>
      <c r="B100" s="9"/>
      <c r="C100" s="10"/>
      <c r="D100" s="11" t="s">
        <v>2</v>
      </c>
      <c r="E100" s="10"/>
      <c r="F100" s="10"/>
      <c r="G100" s="10"/>
      <c r="H100" s="11" t="s">
        <v>2</v>
      </c>
      <c r="I100" s="10"/>
      <c r="J100" s="10"/>
      <c r="K100" s="10"/>
    </row>
    <row r="101" spans="1:11" x14ac:dyDescent="0.2">
      <c r="A101" s="12" t="s">
        <v>310</v>
      </c>
      <c r="B101" s="12"/>
      <c r="C101" s="13"/>
      <c r="D101" s="1" t="s">
        <v>2</v>
      </c>
      <c r="E101" s="13"/>
      <c r="F101" s="13"/>
      <c r="G101" s="13"/>
      <c r="H101" s="1" t="s">
        <v>2</v>
      </c>
      <c r="I101" s="13"/>
      <c r="J101" s="13"/>
      <c r="K101" s="13"/>
    </row>
    <row r="102" spans="1:11" x14ac:dyDescent="0.2">
      <c r="A102" s="14" t="s">
        <v>311</v>
      </c>
      <c r="B102" s="9" t="s">
        <v>312</v>
      </c>
      <c r="C102" s="16">
        <v>0</v>
      </c>
      <c r="D102" s="11" t="s">
        <v>2</v>
      </c>
      <c r="E102" s="16">
        <v>10200</v>
      </c>
      <c r="F102" s="16">
        <v>10000</v>
      </c>
      <c r="G102" s="25">
        <f>+E102/F102</f>
        <v>1.02</v>
      </c>
      <c r="H102" s="11" t="s">
        <v>2</v>
      </c>
      <c r="I102" s="16">
        <v>10000</v>
      </c>
      <c r="J102" s="25">
        <f t="shared" ref="J102:J104" si="27">+E102/I102</f>
        <v>1.02</v>
      </c>
      <c r="K102" s="16">
        <v>31417</v>
      </c>
    </row>
    <row r="103" spans="1:11" x14ac:dyDescent="0.2">
      <c r="A103" s="14" t="s">
        <v>98</v>
      </c>
      <c r="B103" s="9" t="s">
        <v>313</v>
      </c>
      <c r="C103" s="16">
        <v>0</v>
      </c>
      <c r="D103" s="11" t="s">
        <v>2</v>
      </c>
      <c r="E103" s="16">
        <v>0</v>
      </c>
      <c r="F103" s="16">
        <v>0</v>
      </c>
      <c r="G103" s="25">
        <v>0</v>
      </c>
      <c r="H103" s="11" t="s">
        <v>2</v>
      </c>
      <c r="I103" s="16">
        <v>0</v>
      </c>
      <c r="J103" s="25">
        <v>0</v>
      </c>
      <c r="K103" s="16">
        <v>215</v>
      </c>
    </row>
    <row r="104" spans="1:11" x14ac:dyDescent="0.2">
      <c r="A104" s="14" t="s">
        <v>258</v>
      </c>
      <c r="B104" s="9" t="s">
        <v>314</v>
      </c>
      <c r="C104" s="16">
        <v>0</v>
      </c>
      <c r="D104" s="11" t="s">
        <v>2</v>
      </c>
      <c r="E104" s="16">
        <v>0</v>
      </c>
      <c r="F104" s="16">
        <v>10000</v>
      </c>
      <c r="G104" s="25">
        <v>0</v>
      </c>
      <c r="H104" s="11" t="s">
        <v>2</v>
      </c>
      <c r="I104" s="16">
        <v>10000</v>
      </c>
      <c r="J104" s="25">
        <f t="shared" si="27"/>
        <v>0</v>
      </c>
      <c r="K104" s="16">
        <v>19620</v>
      </c>
    </row>
    <row r="105" spans="1:11" x14ac:dyDescent="0.2">
      <c r="A105" s="14" t="s">
        <v>102</v>
      </c>
      <c r="B105" s="9" t="s">
        <v>315</v>
      </c>
      <c r="C105" s="16">
        <v>0</v>
      </c>
      <c r="D105" s="11" t="s">
        <v>2</v>
      </c>
      <c r="E105" s="16">
        <v>0</v>
      </c>
      <c r="F105" s="16">
        <v>0</v>
      </c>
      <c r="G105" s="25">
        <v>0</v>
      </c>
      <c r="H105" s="11" t="s">
        <v>2</v>
      </c>
      <c r="I105" s="16">
        <v>0</v>
      </c>
      <c r="J105" s="25">
        <v>0</v>
      </c>
      <c r="K105" s="16">
        <v>16</v>
      </c>
    </row>
    <row r="106" spans="1:11" x14ac:dyDescent="0.2">
      <c r="A106" s="9"/>
      <c r="B106" s="9"/>
      <c r="C106" s="19"/>
      <c r="D106" s="11" t="s">
        <v>2</v>
      </c>
      <c r="E106" s="19"/>
      <c r="F106" s="19"/>
      <c r="G106" s="19"/>
      <c r="H106" s="11" t="s">
        <v>2</v>
      </c>
      <c r="I106" s="19"/>
      <c r="J106" s="19"/>
      <c r="K106" s="19"/>
    </row>
    <row r="107" spans="1:11" x14ac:dyDescent="0.2">
      <c r="A107" s="12" t="s">
        <v>316</v>
      </c>
      <c r="B107" s="12"/>
      <c r="C107" s="18">
        <f>SUM(C102:C106)</f>
        <v>0</v>
      </c>
      <c r="D107" s="1" t="s">
        <v>2</v>
      </c>
      <c r="E107" s="18">
        <f t="shared" ref="E107:F107" si="28">SUM(E102:E106)</f>
        <v>10200</v>
      </c>
      <c r="F107" s="18">
        <f t="shared" si="28"/>
        <v>20000</v>
      </c>
      <c r="G107" s="35">
        <f>+E107/F107</f>
        <v>0.51</v>
      </c>
      <c r="H107" s="1" t="s">
        <v>2</v>
      </c>
      <c r="I107" s="18">
        <f t="shared" ref="I107:K107" si="29">SUM(I102:I106)</f>
        <v>20000</v>
      </c>
      <c r="J107" s="35">
        <f>+E107/I107</f>
        <v>0.51</v>
      </c>
      <c r="K107" s="18">
        <f t="shared" si="29"/>
        <v>51268</v>
      </c>
    </row>
    <row r="108" spans="1:11" x14ac:dyDescent="0.2">
      <c r="A108" s="9"/>
      <c r="B108" s="9"/>
      <c r="C108" s="10"/>
      <c r="D108" s="11" t="s">
        <v>2</v>
      </c>
      <c r="E108" s="10"/>
      <c r="F108" s="10"/>
      <c r="G108" s="10"/>
      <c r="H108" s="11" t="s">
        <v>2</v>
      </c>
      <c r="I108" s="10"/>
      <c r="J108" s="10"/>
      <c r="K108" s="10"/>
    </row>
    <row r="109" spans="1:11" x14ac:dyDescent="0.2">
      <c r="A109" s="9"/>
      <c r="B109" s="9"/>
      <c r="C109" s="10"/>
      <c r="D109" s="11" t="s">
        <v>2</v>
      </c>
      <c r="E109" s="10"/>
      <c r="F109" s="10"/>
      <c r="G109" s="10"/>
      <c r="H109" s="11" t="s">
        <v>2</v>
      </c>
      <c r="I109" s="10"/>
      <c r="J109" s="10"/>
      <c r="K109" s="10"/>
    </row>
    <row r="110" spans="1:11" x14ac:dyDescent="0.2">
      <c r="A110" s="12" t="s">
        <v>317</v>
      </c>
      <c r="B110" s="12"/>
      <c r="C110" s="13"/>
      <c r="D110" s="1" t="s">
        <v>2</v>
      </c>
      <c r="E110" s="13"/>
      <c r="F110" s="13"/>
      <c r="G110" s="13"/>
      <c r="H110" s="1" t="s">
        <v>2</v>
      </c>
      <c r="I110" s="13"/>
      <c r="J110" s="13"/>
      <c r="K110" s="13"/>
    </row>
    <row r="111" spans="1:11" x14ac:dyDescent="0.2">
      <c r="A111" s="14" t="s">
        <v>98</v>
      </c>
      <c r="B111" s="9" t="s">
        <v>318</v>
      </c>
      <c r="C111" s="16">
        <v>0</v>
      </c>
      <c r="D111" s="11" t="s">
        <v>2</v>
      </c>
      <c r="E111" s="16">
        <v>0</v>
      </c>
      <c r="F111" s="16">
        <v>20000</v>
      </c>
      <c r="G111" s="25">
        <v>0</v>
      </c>
      <c r="H111" s="11" t="s">
        <v>2</v>
      </c>
      <c r="I111" s="16">
        <v>20000</v>
      </c>
      <c r="J111" s="25">
        <v>0</v>
      </c>
      <c r="K111" s="16">
        <v>30</v>
      </c>
    </row>
    <row r="112" spans="1:11" x14ac:dyDescent="0.2">
      <c r="A112" s="14" t="s">
        <v>319</v>
      </c>
      <c r="B112" s="9" t="s">
        <v>320</v>
      </c>
      <c r="C112" s="16">
        <v>0</v>
      </c>
      <c r="D112" s="11" t="s">
        <v>2</v>
      </c>
      <c r="E112" s="16">
        <v>0</v>
      </c>
      <c r="F112" s="16">
        <v>10400</v>
      </c>
      <c r="G112" s="25">
        <v>0</v>
      </c>
      <c r="H112" s="11" t="s">
        <v>2</v>
      </c>
      <c r="I112" s="16">
        <v>10400</v>
      </c>
      <c r="J112" s="25">
        <v>0</v>
      </c>
      <c r="K112" s="16">
        <v>0</v>
      </c>
    </row>
    <row r="113" spans="1:11" x14ac:dyDescent="0.2">
      <c r="A113" s="14" t="s">
        <v>321</v>
      </c>
      <c r="B113" s="9" t="s">
        <v>322</v>
      </c>
      <c r="C113" s="16">
        <v>0</v>
      </c>
      <c r="D113" s="11" t="s">
        <v>2</v>
      </c>
      <c r="E113" s="16">
        <v>5515</v>
      </c>
      <c r="F113" s="16">
        <v>5000</v>
      </c>
      <c r="G113" s="25">
        <f>+E113/F113</f>
        <v>1.103</v>
      </c>
      <c r="H113" s="11" t="s">
        <v>2</v>
      </c>
      <c r="I113" s="16">
        <v>5000</v>
      </c>
      <c r="J113" s="25">
        <f t="shared" ref="J113" si="30">+E113/I113</f>
        <v>1.103</v>
      </c>
      <c r="K113" s="16">
        <v>5434</v>
      </c>
    </row>
    <row r="114" spans="1:11" x14ac:dyDescent="0.2">
      <c r="A114" s="9"/>
      <c r="B114" s="9"/>
      <c r="C114" s="19"/>
      <c r="D114" s="11" t="s">
        <v>2</v>
      </c>
      <c r="E114" s="19"/>
      <c r="F114" s="19"/>
      <c r="G114" s="19"/>
      <c r="H114" s="11" t="s">
        <v>2</v>
      </c>
      <c r="I114" s="19"/>
      <c r="J114" s="19"/>
      <c r="K114" s="19"/>
    </row>
    <row r="115" spans="1:11" x14ac:dyDescent="0.2">
      <c r="A115" s="12" t="s">
        <v>323</v>
      </c>
      <c r="B115" s="12"/>
      <c r="C115" s="18">
        <f>SUM(C111:C114)</f>
        <v>0</v>
      </c>
      <c r="D115" s="1" t="s">
        <v>2</v>
      </c>
      <c r="E115" s="18">
        <f t="shared" ref="E115:F115" si="31">SUM(E111:E114)</f>
        <v>5515</v>
      </c>
      <c r="F115" s="18">
        <f t="shared" si="31"/>
        <v>35400</v>
      </c>
      <c r="G115" s="35">
        <f>+E115/F115</f>
        <v>0.15579096045197741</v>
      </c>
      <c r="H115" s="1" t="s">
        <v>2</v>
      </c>
      <c r="I115" s="18">
        <f t="shared" ref="I115:K115" si="32">SUM(I111:I114)</f>
        <v>35400</v>
      </c>
      <c r="J115" s="35">
        <f>+E115/I115</f>
        <v>0.15579096045197741</v>
      </c>
      <c r="K115" s="18">
        <f t="shared" si="32"/>
        <v>5464</v>
      </c>
    </row>
    <row r="116" spans="1:11" x14ac:dyDescent="0.2">
      <c r="A116" s="12"/>
      <c r="B116" s="12"/>
      <c r="C116" s="38"/>
      <c r="D116" s="1" t="s">
        <v>2</v>
      </c>
      <c r="E116" s="38"/>
      <c r="F116" s="38"/>
      <c r="G116" s="38"/>
      <c r="H116" s="1" t="s">
        <v>2</v>
      </c>
      <c r="I116" s="38"/>
      <c r="J116" s="38"/>
      <c r="K116" s="38"/>
    </row>
    <row r="117" spans="1:11" x14ac:dyDescent="0.2">
      <c r="A117" s="22" t="s">
        <v>59</v>
      </c>
      <c r="B117" s="22"/>
      <c r="C117" s="27">
        <f>+C115+C107+C99+C79+C74</f>
        <v>88285</v>
      </c>
      <c r="D117" s="24" t="s">
        <v>2</v>
      </c>
      <c r="E117" s="27">
        <f t="shared" ref="E117:F117" si="33">+E115+E107+E99+E79+E74</f>
        <v>885275</v>
      </c>
      <c r="F117" s="27">
        <f t="shared" si="33"/>
        <v>847276</v>
      </c>
      <c r="G117" s="28">
        <f>+E117/F117</f>
        <v>1.0448484319159281</v>
      </c>
      <c r="H117" s="24" t="s">
        <v>2</v>
      </c>
      <c r="I117" s="27">
        <f t="shared" ref="I117:K117" si="34">+I115+I107+I99+I79+I74</f>
        <v>847276</v>
      </c>
      <c r="J117" s="28">
        <f>+E117/I117</f>
        <v>1.0448484319159281</v>
      </c>
      <c r="K117" s="27">
        <f t="shared" si="34"/>
        <v>688951</v>
      </c>
    </row>
    <row r="118" spans="1:11" x14ac:dyDescent="0.2">
      <c r="A118" s="9"/>
      <c r="B118" s="9"/>
      <c r="C118" s="19"/>
      <c r="D118" s="11" t="s">
        <v>2</v>
      </c>
      <c r="E118" s="19"/>
      <c r="F118" s="19"/>
      <c r="G118" s="19"/>
      <c r="H118" s="11" t="s">
        <v>2</v>
      </c>
      <c r="I118" s="19"/>
      <c r="J118" s="19"/>
      <c r="K118" s="19"/>
    </row>
    <row r="119" spans="1:11" x14ac:dyDescent="0.2">
      <c r="A119" s="30" t="s">
        <v>324</v>
      </c>
      <c r="B119" s="30"/>
      <c r="C119" s="31">
        <f>+C37-C117</f>
        <v>-87364</v>
      </c>
      <c r="D119" s="32" t="s">
        <v>2</v>
      </c>
      <c r="E119" s="31">
        <f t="shared" ref="E119:F119" si="35">+E37-E117</f>
        <v>-864188</v>
      </c>
      <c r="F119" s="31">
        <f t="shared" si="35"/>
        <v>-802276</v>
      </c>
      <c r="G119" s="33">
        <f>+E119/F119</f>
        <v>1.077170450069552</v>
      </c>
      <c r="H119" s="32" t="s">
        <v>2</v>
      </c>
      <c r="I119" s="31">
        <f t="shared" ref="I119:K119" si="36">+I37-I117</f>
        <v>-802276</v>
      </c>
      <c r="J119" s="33">
        <f>+E119/I119</f>
        <v>1.077170450069552</v>
      </c>
      <c r="K119" s="31">
        <f t="shared" si="36"/>
        <v>-665453</v>
      </c>
    </row>
    <row r="120" spans="1:11" x14ac:dyDescent="0.2">
      <c r="A120" s="30"/>
      <c r="B120" s="30"/>
      <c r="C120" s="39"/>
      <c r="D120" s="32" t="s">
        <v>2</v>
      </c>
      <c r="E120" s="39"/>
      <c r="F120" s="39"/>
      <c r="G120" s="39"/>
      <c r="H120" s="32" t="s">
        <v>2</v>
      </c>
      <c r="I120" s="39"/>
      <c r="J120" s="39"/>
      <c r="K120" s="39"/>
    </row>
    <row r="121" spans="1:11" x14ac:dyDescent="0.2">
      <c r="A121" s="9"/>
      <c r="B121" s="9"/>
      <c r="C121" s="10"/>
      <c r="D121" s="11" t="s">
        <v>2</v>
      </c>
      <c r="E121" s="10"/>
      <c r="F121" s="10"/>
      <c r="G121" s="10"/>
      <c r="H121" s="11" t="s">
        <v>2</v>
      </c>
      <c r="I121" s="10"/>
      <c r="J121" s="10"/>
      <c r="K121" s="10"/>
    </row>
    <row r="122" spans="1:11" x14ac:dyDescent="0.2">
      <c r="A122" s="9"/>
      <c r="B122" s="9"/>
      <c r="C122" s="10"/>
      <c r="D122" s="11" t="s">
        <v>2</v>
      </c>
      <c r="E122" s="10"/>
      <c r="F122" s="10"/>
      <c r="G122" s="10"/>
      <c r="H122" s="11" t="s">
        <v>2</v>
      </c>
      <c r="I122" s="10"/>
      <c r="J122" s="10"/>
      <c r="K122" s="10"/>
    </row>
    <row r="123" spans="1:11" x14ac:dyDescent="0.2">
      <c r="A123" s="9"/>
      <c r="B123" s="9"/>
      <c r="C123" s="10"/>
      <c r="D123" s="11" t="s">
        <v>2</v>
      </c>
      <c r="E123" s="10"/>
      <c r="F123" s="10"/>
      <c r="G123" s="10"/>
      <c r="H123" s="11" t="s">
        <v>2</v>
      </c>
      <c r="I123" s="10"/>
      <c r="J123" s="10"/>
      <c r="K123" s="10"/>
    </row>
    <row r="124" spans="1:11" x14ac:dyDescent="0.2">
      <c r="A124" s="9"/>
      <c r="B124" s="9"/>
      <c r="C124" s="10"/>
      <c r="D124" s="11" t="s">
        <v>2</v>
      </c>
      <c r="E124" s="10"/>
      <c r="F124" s="10"/>
      <c r="G124" s="10"/>
      <c r="H124" s="11" t="s">
        <v>2</v>
      </c>
      <c r="I124" s="10"/>
      <c r="J124" s="10"/>
      <c r="K124" s="10"/>
    </row>
    <row r="125" spans="1:11" x14ac:dyDescent="0.2">
      <c r="A125" s="9"/>
      <c r="B125" s="9"/>
      <c r="C125" s="10"/>
      <c r="D125" s="11" t="s">
        <v>2</v>
      </c>
      <c r="E125" s="10"/>
      <c r="F125" s="10"/>
      <c r="G125" s="10"/>
      <c r="H125" s="11" t="s">
        <v>2</v>
      </c>
      <c r="I125" s="10"/>
      <c r="J125" s="10"/>
      <c r="K125" s="10"/>
    </row>
    <row r="126" spans="1:11" x14ac:dyDescent="0.2">
      <c r="A126" s="9"/>
      <c r="B126" s="9"/>
      <c r="C126" s="10"/>
      <c r="D126" s="11" t="s">
        <v>2</v>
      </c>
      <c r="E126" s="10"/>
      <c r="F126" s="10"/>
      <c r="G126" s="10"/>
      <c r="H126" s="11" t="s">
        <v>2</v>
      </c>
      <c r="I126" s="10"/>
      <c r="J126" s="10"/>
      <c r="K126" s="10"/>
    </row>
    <row r="127" spans="1:11" x14ac:dyDescent="0.2">
      <c r="A127" s="9"/>
      <c r="B127" s="9"/>
      <c r="C127" s="10"/>
      <c r="D127" s="11" t="s">
        <v>2</v>
      </c>
      <c r="E127" s="10"/>
      <c r="F127" s="10"/>
      <c r="G127" s="10"/>
      <c r="H127" s="11" t="s">
        <v>2</v>
      </c>
      <c r="I127" s="10"/>
      <c r="J127" s="10"/>
      <c r="K127" s="10"/>
    </row>
  </sheetData>
  <mergeCells count="6">
    <mergeCell ref="E5:G5"/>
    <mergeCell ref="I5:K5"/>
    <mergeCell ref="A1:K1"/>
    <mergeCell ref="A2:K2"/>
    <mergeCell ref="A3:K3"/>
    <mergeCell ref="A4:K4"/>
  </mergeCells>
  <printOptions horizontalCentered="1"/>
  <pageMargins left="0.75" right="0.75" top="0.75" bottom="0.75" header="0.03" footer="0.03"/>
  <pageSetup scale="81" fitToHeight="0" pageOrder="overThenDown" orientation="landscape" r:id="rId1"/>
  <headerFooter>
    <oddHeader>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03"/>
  <sheetViews>
    <sheetView workbookViewId="0">
      <pane ySplit="7" topLeftCell="A68" activePane="bottomLeft" state="frozen"/>
      <selection pane="bottomLeft" activeCell="H18" sqref="H18"/>
    </sheetView>
  </sheetViews>
  <sheetFormatPr defaultRowHeight="12.75" x14ac:dyDescent="0.2"/>
  <cols>
    <col min="1" max="1" width="36.140625" bestFit="1" customWidth="1"/>
    <col min="2" max="2" width="1.7109375" hidden="1" customWidth="1"/>
    <col min="3" max="3" width="15.7109375" customWidth="1"/>
    <col min="4" max="4" width="1.7109375" customWidth="1"/>
    <col min="5" max="5" width="15.7109375" customWidth="1"/>
    <col min="6" max="6" width="2.85546875" style="11" customWidth="1"/>
    <col min="7" max="7" width="15.7109375" customWidth="1"/>
    <col min="8" max="8" width="13.5703125" customWidth="1"/>
    <col min="9" max="9" width="1.7109375" customWidth="1"/>
    <col min="10" max="10" width="15.7109375" customWidth="1"/>
    <col min="11" max="11" width="13.5703125" customWidth="1"/>
    <col min="12" max="12" width="11.7109375" customWidth="1"/>
  </cols>
  <sheetData>
    <row r="1" spans="1:12" ht="15.75" x14ac:dyDescent="0.25">
      <c r="A1" s="85" t="s">
        <v>502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.75" x14ac:dyDescent="0.25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.75" x14ac:dyDescent="0.25">
      <c r="A3" s="85" t="s">
        <v>507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.75" x14ac:dyDescent="0.25">
      <c r="A4" s="85" t="s">
        <v>480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2">
      <c r="C5" s="76">
        <v>43435</v>
      </c>
      <c r="E5" s="86" t="s">
        <v>37</v>
      </c>
      <c r="F5" s="86"/>
      <c r="G5" s="86"/>
      <c r="H5" s="86"/>
      <c r="J5" s="86" t="s">
        <v>40</v>
      </c>
      <c r="K5" s="86"/>
      <c r="L5" s="86"/>
    </row>
    <row r="6" spans="1:12" x14ac:dyDescent="0.2">
      <c r="H6" s="1" t="s">
        <v>36</v>
      </c>
      <c r="K6" s="1" t="s">
        <v>36</v>
      </c>
      <c r="L6" s="1" t="s">
        <v>41</v>
      </c>
    </row>
    <row r="7" spans="1:12" x14ac:dyDescent="0.2">
      <c r="C7" s="2" t="s">
        <v>36</v>
      </c>
      <c r="E7" s="2" t="s">
        <v>36</v>
      </c>
      <c r="F7" s="2"/>
      <c r="G7" s="2" t="s">
        <v>38</v>
      </c>
      <c r="H7" s="2" t="s">
        <v>39</v>
      </c>
      <c r="J7" s="2" t="s">
        <v>38</v>
      </c>
      <c r="K7" s="2" t="s">
        <v>39</v>
      </c>
      <c r="L7" s="2" t="s">
        <v>36</v>
      </c>
    </row>
    <row r="8" spans="1:12" x14ac:dyDescent="0.2">
      <c r="A8" s="9"/>
      <c r="B8" s="9"/>
      <c r="C8" s="10"/>
      <c r="D8" s="11" t="s">
        <v>2</v>
      </c>
      <c r="E8" s="10"/>
      <c r="G8" s="10"/>
      <c r="H8" s="10"/>
      <c r="I8" s="11" t="s">
        <v>2</v>
      </c>
      <c r="J8" s="10"/>
      <c r="K8" s="10"/>
      <c r="L8" s="10"/>
    </row>
    <row r="9" spans="1:12" x14ac:dyDescent="0.2">
      <c r="A9" s="9"/>
      <c r="B9" s="9"/>
      <c r="C9" s="10"/>
      <c r="D9" s="11" t="s">
        <v>2</v>
      </c>
      <c r="E9" s="10"/>
      <c r="G9" s="10"/>
      <c r="H9" s="10"/>
      <c r="I9" s="11" t="s">
        <v>2</v>
      </c>
      <c r="J9" s="10"/>
      <c r="K9" s="10"/>
      <c r="L9" s="10"/>
    </row>
    <row r="10" spans="1:12" x14ac:dyDescent="0.2">
      <c r="A10" s="22" t="s">
        <v>64</v>
      </c>
      <c r="B10" s="22"/>
      <c r="C10" s="23"/>
      <c r="D10" s="24" t="s">
        <v>2</v>
      </c>
      <c r="E10" s="23"/>
      <c r="F10" s="24"/>
      <c r="G10" s="23"/>
      <c r="H10" s="23"/>
      <c r="I10" s="24" t="s">
        <v>2</v>
      </c>
      <c r="J10" s="23"/>
      <c r="K10" s="23"/>
      <c r="L10" s="23"/>
    </row>
    <row r="11" spans="1:12" x14ac:dyDescent="0.2">
      <c r="A11" s="9"/>
      <c r="B11" s="9"/>
      <c r="C11" s="10"/>
      <c r="D11" s="11" t="s">
        <v>2</v>
      </c>
      <c r="E11" s="10"/>
      <c r="G11" s="10"/>
      <c r="H11" s="10"/>
      <c r="I11" s="11" t="s">
        <v>2</v>
      </c>
      <c r="J11" s="10"/>
      <c r="K11" s="10"/>
      <c r="L11" s="10"/>
    </row>
    <row r="12" spans="1:12" x14ac:dyDescent="0.2">
      <c r="A12" s="12" t="s">
        <v>325</v>
      </c>
      <c r="B12" s="12"/>
      <c r="C12" s="13"/>
      <c r="D12" s="1" t="s">
        <v>2</v>
      </c>
      <c r="E12" s="13"/>
      <c r="F12" s="1"/>
      <c r="G12" s="13"/>
      <c r="H12" s="13"/>
      <c r="I12" s="1" t="s">
        <v>2</v>
      </c>
      <c r="J12" s="13"/>
      <c r="K12" s="13"/>
      <c r="L12" s="13"/>
    </row>
    <row r="13" spans="1:12" x14ac:dyDescent="0.2">
      <c r="A13" s="14" t="s">
        <v>326</v>
      </c>
      <c r="B13" s="9" t="s">
        <v>327</v>
      </c>
      <c r="C13" s="15">
        <v>0</v>
      </c>
      <c r="D13" s="11" t="s">
        <v>2</v>
      </c>
      <c r="E13" s="15">
        <v>3282</v>
      </c>
      <c r="F13" s="69"/>
      <c r="G13" s="15">
        <v>4000</v>
      </c>
      <c r="H13" s="25">
        <v>0.82046750000000002</v>
      </c>
      <c r="I13" s="11" t="s">
        <v>2</v>
      </c>
      <c r="J13" s="15">
        <v>4000</v>
      </c>
      <c r="K13" s="25">
        <v>0.82046750000000002</v>
      </c>
      <c r="L13" s="15">
        <v>0</v>
      </c>
    </row>
    <row r="14" spans="1:12" x14ac:dyDescent="0.2">
      <c r="A14" s="14" t="s">
        <v>328</v>
      </c>
      <c r="B14" s="9" t="s">
        <v>329</v>
      </c>
      <c r="C14" s="16">
        <v>0</v>
      </c>
      <c r="D14" s="11" t="s">
        <v>2</v>
      </c>
      <c r="E14" s="16">
        <v>1716</v>
      </c>
      <c r="F14" s="70"/>
      <c r="G14" s="16">
        <v>1000</v>
      </c>
      <c r="H14" s="25">
        <v>1.7161900000000001</v>
      </c>
      <c r="I14" s="11" t="s">
        <v>2</v>
      </c>
      <c r="J14" s="16">
        <v>1000</v>
      </c>
      <c r="K14" s="25">
        <v>1.7161900000000001</v>
      </c>
      <c r="L14" s="16">
        <v>500</v>
      </c>
    </row>
    <row r="15" spans="1:12" x14ac:dyDescent="0.2">
      <c r="A15" s="14" t="s">
        <v>167</v>
      </c>
      <c r="B15" s="9" t="s">
        <v>330</v>
      </c>
      <c r="C15" s="16">
        <v>0</v>
      </c>
      <c r="D15" s="11" t="s">
        <v>2</v>
      </c>
      <c r="E15" s="16">
        <v>280</v>
      </c>
      <c r="F15" s="70"/>
      <c r="G15" s="16">
        <v>0</v>
      </c>
      <c r="H15" s="25">
        <v>0</v>
      </c>
      <c r="I15" s="11" t="s">
        <v>2</v>
      </c>
      <c r="J15" s="16">
        <v>0</v>
      </c>
      <c r="K15" s="25">
        <v>0</v>
      </c>
      <c r="L15" s="16">
        <v>106</v>
      </c>
    </row>
    <row r="16" spans="1:12" x14ac:dyDescent="0.2">
      <c r="A16" s="14" t="s">
        <v>331</v>
      </c>
      <c r="B16" s="9" t="s">
        <v>332</v>
      </c>
      <c r="C16" s="16">
        <v>0</v>
      </c>
      <c r="D16" s="11" t="s">
        <v>2</v>
      </c>
      <c r="E16" s="16">
        <v>292</v>
      </c>
      <c r="F16" s="70"/>
      <c r="G16" s="16">
        <v>0</v>
      </c>
      <c r="H16" s="25">
        <v>0</v>
      </c>
      <c r="I16" s="11" t="s">
        <v>2</v>
      </c>
      <c r="J16" s="16">
        <v>0</v>
      </c>
      <c r="K16" s="25">
        <v>0</v>
      </c>
      <c r="L16" s="16">
        <v>0</v>
      </c>
    </row>
    <row r="17" spans="1:12" x14ac:dyDescent="0.2">
      <c r="A17" s="14" t="s">
        <v>170</v>
      </c>
      <c r="B17" s="9" t="s">
        <v>333</v>
      </c>
      <c r="C17" s="16">
        <v>0</v>
      </c>
      <c r="D17" s="11" t="s">
        <v>2</v>
      </c>
      <c r="E17" s="16">
        <v>62</v>
      </c>
      <c r="F17" s="70"/>
      <c r="G17" s="16">
        <v>0</v>
      </c>
      <c r="H17" s="25">
        <v>0</v>
      </c>
      <c r="I17" s="11" t="s">
        <v>2</v>
      </c>
      <c r="J17" s="16">
        <v>0</v>
      </c>
      <c r="K17" s="25">
        <v>0</v>
      </c>
      <c r="L17" s="16">
        <v>0</v>
      </c>
    </row>
    <row r="18" spans="1:12" x14ac:dyDescent="0.2">
      <c r="A18" s="14" t="s">
        <v>102</v>
      </c>
      <c r="B18" s="9" t="s">
        <v>334</v>
      </c>
      <c r="C18" s="16">
        <v>0</v>
      </c>
      <c r="D18" s="68"/>
      <c r="E18" s="16">
        <v>7184</v>
      </c>
      <c r="F18" s="70"/>
      <c r="G18" s="16">
        <v>0</v>
      </c>
      <c r="H18" s="25">
        <v>0</v>
      </c>
      <c r="I18" s="11" t="s">
        <v>2</v>
      </c>
      <c r="J18" s="16">
        <v>0</v>
      </c>
      <c r="K18" s="25">
        <v>0</v>
      </c>
      <c r="L18" s="16">
        <v>0</v>
      </c>
    </row>
    <row r="19" spans="1:12" x14ac:dyDescent="0.2">
      <c r="A19" s="14" t="s">
        <v>151</v>
      </c>
      <c r="B19" s="9" t="s">
        <v>335</v>
      </c>
      <c r="C19" s="16">
        <v>0</v>
      </c>
      <c r="D19" s="11" t="s">
        <v>2</v>
      </c>
      <c r="E19" s="16">
        <v>1718</v>
      </c>
      <c r="F19" s="70"/>
      <c r="G19" s="16">
        <v>0</v>
      </c>
      <c r="H19" s="25">
        <v>0</v>
      </c>
      <c r="I19" s="11" t="s">
        <v>2</v>
      </c>
      <c r="J19" s="16">
        <v>0</v>
      </c>
      <c r="K19" s="25">
        <v>0</v>
      </c>
      <c r="L19" s="16">
        <v>0</v>
      </c>
    </row>
    <row r="20" spans="1:12" x14ac:dyDescent="0.2">
      <c r="A20" s="9"/>
      <c r="B20" s="9"/>
      <c r="C20" s="10"/>
      <c r="D20" s="11" t="s">
        <v>2</v>
      </c>
      <c r="E20" s="10"/>
      <c r="G20" s="10"/>
      <c r="H20" s="10"/>
      <c r="I20" s="11" t="s">
        <v>2</v>
      </c>
      <c r="J20" s="10"/>
      <c r="K20" s="10"/>
      <c r="L20" s="10"/>
    </row>
    <row r="21" spans="1:12" x14ac:dyDescent="0.2">
      <c r="A21" s="12" t="s">
        <v>336</v>
      </c>
      <c r="B21" s="12"/>
      <c r="C21" s="13"/>
      <c r="D21" s="1" t="s">
        <v>2</v>
      </c>
      <c r="E21" s="13"/>
      <c r="F21" s="1"/>
      <c r="G21" s="13"/>
      <c r="H21" s="13"/>
      <c r="I21" s="1" t="s">
        <v>2</v>
      </c>
      <c r="J21" s="13"/>
      <c r="K21" s="13"/>
      <c r="L21" s="13"/>
    </row>
    <row r="22" spans="1:12" x14ac:dyDescent="0.2">
      <c r="A22" s="14" t="s">
        <v>337</v>
      </c>
      <c r="B22" s="9" t="s">
        <v>338</v>
      </c>
      <c r="C22" s="16">
        <v>0</v>
      </c>
      <c r="D22" s="11" t="s">
        <v>2</v>
      </c>
      <c r="E22" s="16">
        <v>595</v>
      </c>
      <c r="F22" s="70"/>
      <c r="G22" s="16">
        <v>595</v>
      </c>
      <c r="H22" s="25">
        <v>1</v>
      </c>
      <c r="I22" s="11" t="s">
        <v>2</v>
      </c>
      <c r="J22" s="16">
        <v>595</v>
      </c>
      <c r="K22" s="25">
        <v>1</v>
      </c>
      <c r="L22" s="16">
        <v>3388</v>
      </c>
    </row>
    <row r="23" spans="1:12" x14ac:dyDescent="0.2">
      <c r="A23" s="14" t="s">
        <v>339</v>
      </c>
      <c r="B23" s="9" t="s">
        <v>340</v>
      </c>
      <c r="C23" s="16">
        <v>666</v>
      </c>
      <c r="D23" s="11" t="s">
        <v>2</v>
      </c>
      <c r="E23" s="16">
        <f>666+750</f>
        <v>1416</v>
      </c>
      <c r="F23" s="70"/>
      <c r="G23" s="16">
        <v>2200</v>
      </c>
      <c r="H23" s="25">
        <v>0.34090909090909999</v>
      </c>
      <c r="I23" s="11" t="s">
        <v>2</v>
      </c>
      <c r="J23" s="16">
        <v>2200</v>
      </c>
      <c r="K23" s="25">
        <v>0.34090909090909999</v>
      </c>
      <c r="L23" s="16">
        <v>0</v>
      </c>
    </row>
    <row r="24" spans="1:12" x14ac:dyDescent="0.2">
      <c r="A24" s="14" t="s">
        <v>167</v>
      </c>
      <c r="B24" s="9" t="s">
        <v>341</v>
      </c>
      <c r="C24" s="16">
        <v>102</v>
      </c>
      <c r="D24" s="11" t="s">
        <v>2</v>
      </c>
      <c r="E24" s="16">
        <v>102</v>
      </c>
      <c r="F24" s="70"/>
      <c r="G24" s="16">
        <v>900</v>
      </c>
      <c r="H24" s="25">
        <v>0</v>
      </c>
      <c r="I24" s="11" t="s">
        <v>2</v>
      </c>
      <c r="J24" s="16">
        <v>900</v>
      </c>
      <c r="K24" s="25">
        <v>0</v>
      </c>
      <c r="L24" s="16">
        <v>70</v>
      </c>
    </row>
    <row r="25" spans="1:12" x14ac:dyDescent="0.2">
      <c r="A25" s="14" t="s">
        <v>114</v>
      </c>
      <c r="B25" s="9" t="s">
        <v>342</v>
      </c>
      <c r="C25" s="16">
        <v>2500</v>
      </c>
      <c r="D25" s="11" t="s">
        <v>2</v>
      </c>
      <c r="E25" s="16">
        <v>2500</v>
      </c>
      <c r="F25" s="70"/>
      <c r="G25" s="16">
        <v>1000</v>
      </c>
      <c r="H25" s="25">
        <v>0</v>
      </c>
      <c r="I25" s="11" t="s">
        <v>2</v>
      </c>
      <c r="J25" s="16">
        <v>1000</v>
      </c>
      <c r="K25" s="25">
        <v>0</v>
      </c>
      <c r="L25" s="16">
        <v>1000</v>
      </c>
    </row>
    <row r="26" spans="1:12" x14ac:dyDescent="0.2">
      <c r="A26" s="14" t="s">
        <v>170</v>
      </c>
      <c r="B26" s="9" t="s">
        <v>343</v>
      </c>
      <c r="C26" s="16">
        <v>0</v>
      </c>
      <c r="D26" s="11" t="s">
        <v>2</v>
      </c>
      <c r="E26" s="16">
        <v>0</v>
      </c>
      <c r="F26" s="70"/>
      <c r="G26" s="16">
        <v>300</v>
      </c>
      <c r="H26" s="25">
        <v>0</v>
      </c>
      <c r="I26" s="11" t="s">
        <v>2</v>
      </c>
      <c r="J26" s="16">
        <v>300</v>
      </c>
      <c r="K26" s="25">
        <v>0</v>
      </c>
      <c r="L26" s="16">
        <v>0</v>
      </c>
    </row>
    <row r="27" spans="1:12" x14ac:dyDescent="0.2">
      <c r="A27" s="14" t="s">
        <v>102</v>
      </c>
      <c r="B27" s="9" t="s">
        <v>344</v>
      </c>
      <c r="C27" s="16">
        <v>0</v>
      </c>
      <c r="D27" s="11" t="s">
        <v>2</v>
      </c>
      <c r="E27" s="16">
        <v>564</v>
      </c>
      <c r="F27" s="70"/>
      <c r="G27" s="16">
        <v>6000</v>
      </c>
      <c r="H27" s="25">
        <v>9.4026666666699996E-2</v>
      </c>
      <c r="I27" s="11" t="s">
        <v>2</v>
      </c>
      <c r="J27" s="16">
        <v>6000</v>
      </c>
      <c r="K27" s="25">
        <v>9.4026666666699996E-2</v>
      </c>
      <c r="L27" s="16">
        <v>84</v>
      </c>
    </row>
    <row r="28" spans="1:12" x14ac:dyDescent="0.2">
      <c r="A28" s="9"/>
      <c r="B28" s="9"/>
      <c r="C28" s="10"/>
      <c r="D28" s="11" t="s">
        <v>2</v>
      </c>
      <c r="E28" s="10"/>
      <c r="G28" s="10"/>
      <c r="H28" s="10"/>
      <c r="I28" s="11" t="s">
        <v>2</v>
      </c>
      <c r="J28" s="10"/>
      <c r="K28" s="10"/>
      <c r="L28" s="10"/>
    </row>
    <row r="29" spans="1:12" x14ac:dyDescent="0.2">
      <c r="A29" s="12" t="s">
        <v>345</v>
      </c>
      <c r="B29" s="12"/>
      <c r="C29" s="13"/>
      <c r="D29" s="1" t="s">
        <v>2</v>
      </c>
      <c r="E29" s="13"/>
      <c r="F29" s="1"/>
      <c r="G29" s="13"/>
      <c r="H29" s="13"/>
      <c r="I29" s="1" t="s">
        <v>2</v>
      </c>
      <c r="J29" s="13"/>
      <c r="K29" s="13"/>
      <c r="L29" s="13"/>
    </row>
    <row r="30" spans="1:12" x14ac:dyDescent="0.2">
      <c r="A30" s="14" t="s">
        <v>346</v>
      </c>
      <c r="B30" s="9" t="s">
        <v>347</v>
      </c>
      <c r="C30" s="16">
        <v>0</v>
      </c>
      <c r="D30" s="11" t="s">
        <v>2</v>
      </c>
      <c r="E30" s="16">
        <v>0</v>
      </c>
      <c r="F30" s="70"/>
      <c r="G30" s="16">
        <v>2100</v>
      </c>
      <c r="H30" s="25">
        <v>0</v>
      </c>
      <c r="I30" s="11" t="s">
        <v>2</v>
      </c>
      <c r="J30" s="16">
        <v>2100</v>
      </c>
      <c r="K30" s="25">
        <v>0</v>
      </c>
      <c r="L30" s="16">
        <v>0</v>
      </c>
    </row>
    <row r="31" spans="1:12" x14ac:dyDescent="0.2">
      <c r="A31" s="14" t="s">
        <v>339</v>
      </c>
      <c r="B31" s="9" t="s">
        <v>348</v>
      </c>
      <c r="C31" s="16">
        <v>0</v>
      </c>
      <c r="D31" s="11" t="s">
        <v>2</v>
      </c>
      <c r="E31" s="16">
        <v>1907</v>
      </c>
      <c r="F31" s="70"/>
      <c r="G31" s="16">
        <v>450</v>
      </c>
      <c r="H31" s="25">
        <v>4.2369555555555998</v>
      </c>
      <c r="I31" s="11" t="s">
        <v>2</v>
      </c>
      <c r="J31" s="16">
        <v>450</v>
      </c>
      <c r="K31" s="25">
        <v>4.2369555555555998</v>
      </c>
      <c r="L31" s="16">
        <v>2020</v>
      </c>
    </row>
    <row r="32" spans="1:12" x14ac:dyDescent="0.2">
      <c r="A32" s="14" t="s">
        <v>167</v>
      </c>
      <c r="B32" s="9" t="s">
        <v>349</v>
      </c>
      <c r="C32" s="16">
        <v>99</v>
      </c>
      <c r="D32" s="11" t="s">
        <v>2</v>
      </c>
      <c r="E32" s="16">
        <f>109+99</f>
        <v>208</v>
      </c>
      <c r="F32" s="70"/>
      <c r="G32" s="16">
        <v>0</v>
      </c>
      <c r="H32" s="25">
        <v>0</v>
      </c>
      <c r="I32" s="11" t="s">
        <v>2</v>
      </c>
      <c r="J32" s="16">
        <v>0</v>
      </c>
      <c r="K32" s="25">
        <v>0</v>
      </c>
      <c r="L32" s="16">
        <v>59</v>
      </c>
    </row>
    <row r="33" spans="1:12" x14ac:dyDescent="0.2">
      <c r="A33" s="14" t="s">
        <v>114</v>
      </c>
      <c r="B33" s="9" t="s">
        <v>350</v>
      </c>
      <c r="C33" s="16">
        <v>0</v>
      </c>
      <c r="D33" s="11" t="s">
        <v>2</v>
      </c>
      <c r="E33" s="16">
        <v>4000</v>
      </c>
      <c r="F33" s="70"/>
      <c r="G33" s="16">
        <v>500</v>
      </c>
      <c r="H33" s="25">
        <v>8</v>
      </c>
      <c r="I33" s="11" t="s">
        <v>2</v>
      </c>
      <c r="J33" s="16">
        <v>500</v>
      </c>
      <c r="K33" s="25">
        <v>8</v>
      </c>
      <c r="L33" s="16">
        <v>0</v>
      </c>
    </row>
    <row r="34" spans="1:12" x14ac:dyDescent="0.2">
      <c r="A34" s="14" t="s">
        <v>102</v>
      </c>
      <c r="B34" s="9" t="s">
        <v>351</v>
      </c>
      <c r="C34" s="16">
        <v>-444</v>
      </c>
      <c r="D34" s="11" t="s">
        <v>2</v>
      </c>
      <c r="E34" s="16">
        <f>-444+811</f>
        <v>367</v>
      </c>
      <c r="F34" s="70"/>
      <c r="G34" s="16">
        <v>3800</v>
      </c>
      <c r="H34" s="25">
        <v>0.21339210526319999</v>
      </c>
      <c r="I34" s="11" t="s">
        <v>2</v>
      </c>
      <c r="J34" s="16">
        <v>3800</v>
      </c>
      <c r="K34" s="25">
        <v>0.21339210526319999</v>
      </c>
      <c r="L34" s="16">
        <v>0</v>
      </c>
    </row>
    <row r="35" spans="1:12" x14ac:dyDescent="0.2">
      <c r="A35" s="9"/>
      <c r="B35" s="9"/>
      <c r="C35" s="10"/>
      <c r="D35" s="11" t="s">
        <v>2</v>
      </c>
      <c r="E35" s="10"/>
      <c r="G35" s="10"/>
      <c r="H35" s="10"/>
      <c r="I35" s="11" t="s">
        <v>2</v>
      </c>
      <c r="J35" s="10"/>
      <c r="K35" s="10"/>
      <c r="L35" s="10"/>
    </row>
    <row r="36" spans="1:12" x14ac:dyDescent="0.2">
      <c r="A36" s="12" t="s">
        <v>352</v>
      </c>
      <c r="B36" s="12"/>
      <c r="C36" s="13"/>
      <c r="D36" s="1" t="s">
        <v>2</v>
      </c>
      <c r="E36" s="13"/>
      <c r="F36" s="1"/>
      <c r="G36" s="13"/>
      <c r="H36" s="13"/>
      <c r="I36" s="1" t="s">
        <v>2</v>
      </c>
      <c r="J36" s="13"/>
      <c r="K36" s="13"/>
      <c r="L36" s="13"/>
    </row>
    <row r="37" spans="1:12" x14ac:dyDescent="0.2">
      <c r="A37" s="14" t="s">
        <v>167</v>
      </c>
      <c r="B37" s="9" t="s">
        <v>353</v>
      </c>
      <c r="C37" s="16">
        <v>0</v>
      </c>
      <c r="D37" s="11" t="s">
        <v>2</v>
      </c>
      <c r="E37" s="16">
        <v>0</v>
      </c>
      <c r="F37" s="70"/>
      <c r="G37" s="16">
        <v>1200</v>
      </c>
      <c r="H37" s="25">
        <v>0</v>
      </c>
      <c r="I37" s="11" t="s">
        <v>2</v>
      </c>
      <c r="J37" s="16">
        <v>1200</v>
      </c>
      <c r="K37" s="25">
        <v>0</v>
      </c>
      <c r="L37" s="16">
        <v>681</v>
      </c>
    </row>
    <row r="38" spans="1:12" x14ac:dyDescent="0.2">
      <c r="A38" s="14" t="s">
        <v>102</v>
      </c>
      <c r="B38" s="9" t="s">
        <v>354</v>
      </c>
      <c r="C38" s="16">
        <v>1513</v>
      </c>
      <c r="D38" s="11" t="s">
        <v>2</v>
      </c>
      <c r="E38" s="84">
        <f>1513+2314</f>
        <v>3827</v>
      </c>
      <c r="F38" s="70"/>
      <c r="G38" s="16">
        <v>2700</v>
      </c>
      <c r="H38" s="25">
        <v>0.85719259259259994</v>
      </c>
      <c r="I38" s="11" t="s">
        <v>2</v>
      </c>
      <c r="J38" s="16">
        <v>2700</v>
      </c>
      <c r="K38" s="25">
        <v>0.85719259259259994</v>
      </c>
      <c r="L38" s="16">
        <v>2503</v>
      </c>
    </row>
    <row r="39" spans="1:12" x14ac:dyDescent="0.2">
      <c r="A39" s="9"/>
      <c r="B39" s="9"/>
      <c r="C39" s="10"/>
      <c r="D39" s="11" t="s">
        <v>2</v>
      </c>
      <c r="E39" s="10"/>
      <c r="G39" s="10"/>
      <c r="H39" s="10"/>
      <c r="I39" s="11" t="s">
        <v>2</v>
      </c>
      <c r="J39" s="10"/>
      <c r="K39" s="10"/>
      <c r="L39" s="10"/>
    </row>
    <row r="40" spans="1:12" x14ac:dyDescent="0.2">
      <c r="A40" s="12" t="s">
        <v>355</v>
      </c>
      <c r="B40" s="12"/>
      <c r="C40" s="13"/>
      <c r="D40" s="1" t="s">
        <v>2</v>
      </c>
      <c r="E40" s="13"/>
      <c r="F40" s="1"/>
      <c r="G40" s="13"/>
      <c r="H40" s="13"/>
      <c r="I40" s="1" t="s">
        <v>2</v>
      </c>
      <c r="J40" s="13"/>
      <c r="K40" s="13"/>
      <c r="L40" s="13"/>
    </row>
    <row r="41" spans="1:12" x14ac:dyDescent="0.2">
      <c r="A41" s="14" t="s">
        <v>167</v>
      </c>
      <c r="B41" s="9" t="s">
        <v>356</v>
      </c>
      <c r="C41" s="16">
        <v>521</v>
      </c>
      <c r="D41" s="11" t="s">
        <v>2</v>
      </c>
      <c r="E41" s="16">
        <f>521+91</f>
        <v>612</v>
      </c>
      <c r="F41" s="70"/>
      <c r="G41" s="16">
        <v>1000</v>
      </c>
      <c r="H41" s="25">
        <v>9.078E-2</v>
      </c>
      <c r="I41" s="11" t="s">
        <v>2</v>
      </c>
      <c r="J41" s="16">
        <v>1000</v>
      </c>
      <c r="K41" s="25">
        <v>9.078E-2</v>
      </c>
      <c r="L41" s="16">
        <v>521</v>
      </c>
    </row>
    <row r="42" spans="1:12" x14ac:dyDescent="0.2">
      <c r="A42" s="14" t="s">
        <v>102</v>
      </c>
      <c r="B42" s="9" t="s">
        <v>357</v>
      </c>
      <c r="C42" s="16">
        <v>1414</v>
      </c>
      <c r="D42" s="11" t="s">
        <v>2</v>
      </c>
      <c r="E42" s="16">
        <f>1414+1538</f>
        <v>2952</v>
      </c>
      <c r="F42" s="70"/>
      <c r="G42" s="16">
        <v>1800</v>
      </c>
      <c r="H42" s="25">
        <v>0.85443333333329996</v>
      </c>
      <c r="I42" s="11" t="s">
        <v>2</v>
      </c>
      <c r="J42" s="16">
        <v>1800</v>
      </c>
      <c r="K42" s="25">
        <v>0.85443333333329996</v>
      </c>
      <c r="L42" s="16">
        <v>805</v>
      </c>
    </row>
    <row r="43" spans="1:12" x14ac:dyDescent="0.2">
      <c r="A43" s="9"/>
      <c r="B43" s="9"/>
      <c r="C43" s="10"/>
      <c r="D43" s="11" t="s">
        <v>2</v>
      </c>
      <c r="E43" s="10"/>
      <c r="G43" s="10"/>
      <c r="H43" s="10"/>
      <c r="I43" s="11" t="s">
        <v>2</v>
      </c>
      <c r="J43" s="10"/>
      <c r="K43" s="10"/>
      <c r="L43" s="10"/>
    </row>
    <row r="44" spans="1:12" x14ac:dyDescent="0.2">
      <c r="A44" s="12" t="s">
        <v>358</v>
      </c>
      <c r="B44" s="12"/>
      <c r="C44" s="13"/>
      <c r="D44" s="1" t="s">
        <v>2</v>
      </c>
      <c r="E44" s="13"/>
      <c r="F44" s="1"/>
      <c r="G44" s="13"/>
      <c r="H44" s="13"/>
      <c r="I44" s="1" t="s">
        <v>2</v>
      </c>
      <c r="J44" s="13"/>
      <c r="K44" s="13"/>
      <c r="L44" s="13"/>
    </row>
    <row r="45" spans="1:12" x14ac:dyDescent="0.2">
      <c r="A45" s="14" t="s">
        <v>328</v>
      </c>
      <c r="B45" s="9" t="s">
        <v>359</v>
      </c>
      <c r="C45" s="16">
        <v>0</v>
      </c>
      <c r="D45" s="11" t="s">
        <v>2</v>
      </c>
      <c r="E45" s="16">
        <v>-1041</v>
      </c>
      <c r="F45" s="74"/>
      <c r="G45" s="16">
        <v>0</v>
      </c>
      <c r="H45" s="25">
        <v>0</v>
      </c>
      <c r="I45" s="11" t="s">
        <v>2</v>
      </c>
      <c r="J45" s="16">
        <v>0</v>
      </c>
      <c r="K45" s="25">
        <v>0</v>
      </c>
      <c r="L45" s="16">
        <v>0</v>
      </c>
    </row>
    <row r="46" spans="1:12" x14ac:dyDescent="0.2">
      <c r="A46" s="14" t="s">
        <v>360</v>
      </c>
      <c r="B46" s="9" t="s">
        <v>361</v>
      </c>
      <c r="C46" s="16">
        <v>0</v>
      </c>
      <c r="D46" s="11" t="s">
        <v>2</v>
      </c>
      <c r="E46" s="16">
        <v>0</v>
      </c>
      <c r="F46" s="70"/>
      <c r="G46" s="16">
        <v>500</v>
      </c>
      <c r="H46" s="25">
        <v>0</v>
      </c>
      <c r="I46" s="11" t="s">
        <v>2</v>
      </c>
      <c r="J46" s="16">
        <v>500</v>
      </c>
      <c r="K46" s="25">
        <v>0</v>
      </c>
      <c r="L46" s="16">
        <v>0</v>
      </c>
    </row>
    <row r="47" spans="1:12" x14ac:dyDescent="0.2">
      <c r="A47" s="14" t="s">
        <v>362</v>
      </c>
      <c r="B47" s="9" t="s">
        <v>363</v>
      </c>
      <c r="C47" s="16">
        <v>0</v>
      </c>
      <c r="D47" s="11" t="s">
        <v>2</v>
      </c>
      <c r="E47" s="16">
        <v>0</v>
      </c>
      <c r="F47" s="70"/>
      <c r="G47" s="16">
        <v>100</v>
      </c>
      <c r="H47" s="25">
        <v>0</v>
      </c>
      <c r="I47" s="11" t="s">
        <v>2</v>
      </c>
      <c r="J47" s="16">
        <v>100</v>
      </c>
      <c r="K47" s="25">
        <v>0</v>
      </c>
      <c r="L47" s="16">
        <v>0</v>
      </c>
    </row>
    <row r="48" spans="1:12" x14ac:dyDescent="0.2">
      <c r="A48" s="14" t="s">
        <v>167</v>
      </c>
      <c r="B48" s="9" t="s">
        <v>364</v>
      </c>
      <c r="C48" s="16">
        <v>0</v>
      </c>
      <c r="D48" s="11" t="s">
        <v>2</v>
      </c>
      <c r="E48" s="16">
        <v>1550</v>
      </c>
      <c r="F48" s="70"/>
      <c r="G48" s="16">
        <v>1000</v>
      </c>
      <c r="H48" s="25">
        <v>1.54965</v>
      </c>
      <c r="I48" s="11" t="s">
        <v>2</v>
      </c>
      <c r="J48" s="16">
        <v>1000</v>
      </c>
      <c r="K48" s="25">
        <v>1.54965</v>
      </c>
      <c r="L48" s="16">
        <v>0</v>
      </c>
    </row>
    <row r="49" spans="1:12" x14ac:dyDescent="0.2">
      <c r="A49" s="14" t="s">
        <v>331</v>
      </c>
      <c r="B49" s="9" t="s">
        <v>365</v>
      </c>
      <c r="C49" s="16">
        <v>0</v>
      </c>
      <c r="D49" s="11" t="s">
        <v>2</v>
      </c>
      <c r="E49" s="16">
        <v>228</v>
      </c>
      <c r="F49" s="70"/>
      <c r="G49" s="16">
        <v>100</v>
      </c>
      <c r="H49" s="25">
        <v>2.2837999999999998</v>
      </c>
      <c r="I49" s="11" t="s">
        <v>2</v>
      </c>
      <c r="J49" s="16">
        <v>100</v>
      </c>
      <c r="K49" s="25">
        <v>2.2837999999999998</v>
      </c>
      <c r="L49" s="16">
        <v>0</v>
      </c>
    </row>
    <row r="50" spans="1:12" x14ac:dyDescent="0.2">
      <c r="A50" s="14" t="s">
        <v>102</v>
      </c>
      <c r="B50" s="9" t="s">
        <v>366</v>
      </c>
      <c r="C50" s="16">
        <v>0</v>
      </c>
      <c r="D50" s="11" t="s">
        <v>2</v>
      </c>
      <c r="E50" s="16">
        <v>3920</v>
      </c>
      <c r="F50" s="70"/>
      <c r="G50" s="16">
        <v>600</v>
      </c>
      <c r="H50" s="25">
        <v>6.5332333333332997</v>
      </c>
      <c r="I50" s="11" t="s">
        <v>2</v>
      </c>
      <c r="J50" s="16">
        <v>600</v>
      </c>
      <c r="K50" s="25">
        <v>6.5332333333332997</v>
      </c>
      <c r="L50" s="16">
        <v>169</v>
      </c>
    </row>
    <row r="51" spans="1:12" x14ac:dyDescent="0.2">
      <c r="A51" s="14" t="s">
        <v>151</v>
      </c>
      <c r="B51" s="9" t="s">
        <v>367</v>
      </c>
      <c r="C51" s="16">
        <v>0</v>
      </c>
      <c r="D51" s="11" t="s">
        <v>2</v>
      </c>
      <c r="E51" s="16">
        <v>2070</v>
      </c>
      <c r="F51" s="70"/>
      <c r="G51" s="16">
        <v>150</v>
      </c>
      <c r="H51" s="25">
        <v>13.8030666666667</v>
      </c>
      <c r="I51" s="11" t="s">
        <v>2</v>
      </c>
      <c r="J51" s="16">
        <v>150</v>
      </c>
      <c r="K51" s="25">
        <v>13.8030666666667</v>
      </c>
      <c r="L51" s="16">
        <v>102</v>
      </c>
    </row>
    <row r="52" spans="1:12" x14ac:dyDescent="0.2">
      <c r="A52" s="9"/>
      <c r="B52" s="9"/>
      <c r="C52" s="10"/>
      <c r="D52" s="11" t="s">
        <v>2</v>
      </c>
      <c r="E52" s="10"/>
      <c r="G52" s="10"/>
      <c r="H52" s="10"/>
      <c r="I52" s="11" t="s">
        <v>2</v>
      </c>
      <c r="J52" s="10"/>
      <c r="K52" s="10"/>
      <c r="L52" s="10"/>
    </row>
    <row r="53" spans="1:12" x14ac:dyDescent="0.2">
      <c r="A53" s="12" t="s">
        <v>368</v>
      </c>
      <c r="B53" s="12"/>
      <c r="C53" s="13"/>
      <c r="D53" s="1" t="s">
        <v>2</v>
      </c>
      <c r="E53" s="13"/>
      <c r="F53" s="1"/>
      <c r="G53" s="13"/>
      <c r="H53" s="13"/>
      <c r="I53" s="1" t="s">
        <v>2</v>
      </c>
      <c r="J53" s="13"/>
      <c r="K53" s="13"/>
      <c r="L53" s="13"/>
    </row>
    <row r="54" spans="1:12" x14ac:dyDescent="0.2">
      <c r="A54" s="14" t="s">
        <v>339</v>
      </c>
      <c r="B54" s="9" t="s">
        <v>369</v>
      </c>
      <c r="C54" s="16">
        <v>0</v>
      </c>
      <c r="D54" s="11" t="s">
        <v>2</v>
      </c>
      <c r="E54" s="16">
        <v>22596</v>
      </c>
      <c r="F54" s="70"/>
      <c r="G54" s="16">
        <v>24000</v>
      </c>
      <c r="H54" s="25">
        <v>0.94149458333330005</v>
      </c>
      <c r="I54" s="11" t="s">
        <v>2</v>
      </c>
      <c r="J54" s="16">
        <v>24000</v>
      </c>
      <c r="K54" s="25">
        <v>0.94149458333330005</v>
      </c>
      <c r="L54" s="16">
        <v>24000</v>
      </c>
    </row>
    <row r="55" spans="1:12" x14ac:dyDescent="0.2">
      <c r="A55" s="14" t="s">
        <v>167</v>
      </c>
      <c r="B55" s="9" t="s">
        <v>370</v>
      </c>
      <c r="C55" s="16">
        <v>0</v>
      </c>
      <c r="D55" s="11" t="s">
        <v>2</v>
      </c>
      <c r="E55" s="16">
        <v>0</v>
      </c>
      <c r="F55" s="70"/>
      <c r="G55" s="16">
        <v>1500</v>
      </c>
      <c r="H55" s="25">
        <v>0</v>
      </c>
      <c r="I55" s="11" t="s">
        <v>2</v>
      </c>
      <c r="J55" s="16">
        <v>1500</v>
      </c>
      <c r="K55" s="25">
        <v>0</v>
      </c>
      <c r="L55" s="16">
        <v>0</v>
      </c>
    </row>
    <row r="56" spans="1:12" x14ac:dyDescent="0.2">
      <c r="A56" s="14" t="s">
        <v>102</v>
      </c>
      <c r="B56" s="9" t="s">
        <v>371</v>
      </c>
      <c r="C56" s="16">
        <v>0</v>
      </c>
      <c r="D56" s="11" t="s">
        <v>2</v>
      </c>
      <c r="E56" s="16">
        <v>1159</v>
      </c>
      <c r="F56" s="70"/>
      <c r="G56" s="16">
        <v>3400</v>
      </c>
      <c r="H56" s="25">
        <v>0.34094117647060002</v>
      </c>
      <c r="I56" s="11" t="s">
        <v>2</v>
      </c>
      <c r="J56" s="16">
        <v>3400</v>
      </c>
      <c r="K56" s="25">
        <v>0.34094117647060002</v>
      </c>
      <c r="L56" s="16">
        <v>43</v>
      </c>
    </row>
    <row r="57" spans="1:12" x14ac:dyDescent="0.2">
      <c r="A57" s="9"/>
      <c r="B57" s="9"/>
      <c r="C57" s="10"/>
      <c r="D57" s="11" t="s">
        <v>2</v>
      </c>
      <c r="E57" s="10"/>
      <c r="G57" s="10"/>
      <c r="H57" s="10"/>
      <c r="I57" s="11" t="s">
        <v>2</v>
      </c>
      <c r="J57" s="10"/>
      <c r="K57" s="10"/>
      <c r="L57" s="10"/>
    </row>
    <row r="58" spans="1:12" x14ac:dyDescent="0.2">
      <c r="A58" s="12" t="s">
        <v>372</v>
      </c>
      <c r="B58" s="12"/>
      <c r="C58" s="13"/>
      <c r="D58" s="1" t="s">
        <v>2</v>
      </c>
      <c r="E58" s="13"/>
      <c r="F58" s="1"/>
      <c r="G58" s="13"/>
      <c r="H58" s="13"/>
      <c r="I58" s="1" t="s">
        <v>2</v>
      </c>
      <c r="J58" s="13"/>
      <c r="K58" s="13"/>
      <c r="L58" s="13"/>
    </row>
    <row r="59" spans="1:12" x14ac:dyDescent="0.2">
      <c r="A59" s="14" t="s">
        <v>339</v>
      </c>
      <c r="B59" s="9" t="s">
        <v>373</v>
      </c>
      <c r="C59" s="16">
        <v>360</v>
      </c>
      <c r="D59" s="11" t="s">
        <v>2</v>
      </c>
      <c r="E59" s="16">
        <v>360</v>
      </c>
      <c r="F59" s="70"/>
      <c r="G59" s="16">
        <v>3000</v>
      </c>
      <c r="H59" s="25">
        <v>0</v>
      </c>
      <c r="I59" s="11" t="s">
        <v>2</v>
      </c>
      <c r="J59" s="16">
        <v>3000</v>
      </c>
      <c r="K59" s="25">
        <v>0</v>
      </c>
      <c r="L59" s="16">
        <v>0</v>
      </c>
    </row>
    <row r="60" spans="1:12" x14ac:dyDescent="0.2">
      <c r="A60" s="14" t="s">
        <v>167</v>
      </c>
      <c r="B60" s="9" t="s">
        <v>374</v>
      </c>
      <c r="C60" s="16">
        <v>0</v>
      </c>
      <c r="D60" s="11" t="s">
        <v>2</v>
      </c>
      <c r="E60" s="16">
        <v>427</v>
      </c>
      <c r="F60" s="70"/>
      <c r="G60" s="16">
        <v>0</v>
      </c>
      <c r="H60" s="25">
        <v>0</v>
      </c>
      <c r="I60" s="11" t="s">
        <v>2</v>
      </c>
      <c r="J60" s="16">
        <v>0</v>
      </c>
      <c r="K60" s="25">
        <v>0</v>
      </c>
      <c r="L60" s="16">
        <v>76</v>
      </c>
    </row>
    <row r="61" spans="1:12" x14ac:dyDescent="0.2">
      <c r="A61" s="14" t="s">
        <v>375</v>
      </c>
      <c r="B61" s="9" t="s">
        <v>376</v>
      </c>
      <c r="C61" s="16">
        <v>0</v>
      </c>
      <c r="D61" s="11" t="s">
        <v>2</v>
      </c>
      <c r="E61" s="16">
        <v>0</v>
      </c>
      <c r="F61" s="70"/>
      <c r="G61" s="16">
        <v>0</v>
      </c>
      <c r="H61" s="25">
        <v>0</v>
      </c>
      <c r="I61" s="11" t="s">
        <v>2</v>
      </c>
      <c r="J61" s="16">
        <v>0</v>
      </c>
      <c r="K61" s="25">
        <v>0</v>
      </c>
      <c r="L61" s="16">
        <v>2209</v>
      </c>
    </row>
    <row r="62" spans="1:12" x14ac:dyDescent="0.2">
      <c r="A62" s="14" t="s">
        <v>114</v>
      </c>
      <c r="B62" s="9" t="s">
        <v>377</v>
      </c>
      <c r="C62" s="16">
        <v>0</v>
      </c>
      <c r="D62" s="11" t="s">
        <v>2</v>
      </c>
      <c r="E62" s="16">
        <v>1200</v>
      </c>
      <c r="F62" s="70"/>
      <c r="G62" s="16">
        <v>4500</v>
      </c>
      <c r="H62" s="25">
        <v>0.26666666666670003</v>
      </c>
      <c r="I62" s="11" t="s">
        <v>2</v>
      </c>
      <c r="J62" s="16">
        <v>4500</v>
      </c>
      <c r="K62" s="25">
        <v>0.26666666666670003</v>
      </c>
      <c r="L62" s="16">
        <v>2500</v>
      </c>
    </row>
    <row r="63" spans="1:12" x14ac:dyDescent="0.2">
      <c r="A63" s="14" t="s">
        <v>102</v>
      </c>
      <c r="B63" s="9" t="s">
        <v>378</v>
      </c>
      <c r="C63" s="16">
        <v>405</v>
      </c>
      <c r="D63" s="68"/>
      <c r="E63" s="16">
        <f>405+3823</f>
        <v>4228</v>
      </c>
      <c r="F63" s="70"/>
      <c r="G63" s="16">
        <v>3000</v>
      </c>
      <c r="H63" s="25">
        <v>1.2742100000000001</v>
      </c>
      <c r="I63" s="11" t="s">
        <v>2</v>
      </c>
      <c r="J63" s="16">
        <v>3000</v>
      </c>
      <c r="K63" s="25">
        <v>1.2742100000000001</v>
      </c>
      <c r="L63" s="16">
        <v>2899</v>
      </c>
    </row>
    <row r="64" spans="1:12" x14ac:dyDescent="0.2">
      <c r="A64" s="14" t="s">
        <v>151</v>
      </c>
      <c r="B64" s="9" t="s">
        <v>379</v>
      </c>
      <c r="C64" s="16">
        <v>0</v>
      </c>
      <c r="D64" s="11" t="s">
        <v>2</v>
      </c>
      <c r="E64" s="16">
        <v>0</v>
      </c>
      <c r="F64" s="70"/>
      <c r="G64" s="16">
        <v>0</v>
      </c>
      <c r="H64" s="25">
        <v>0</v>
      </c>
      <c r="I64" s="11" t="s">
        <v>2</v>
      </c>
      <c r="J64" s="16">
        <v>0</v>
      </c>
      <c r="K64" s="25">
        <v>0</v>
      </c>
      <c r="L64" s="16">
        <v>149</v>
      </c>
    </row>
    <row r="65" spans="1:12" x14ac:dyDescent="0.2">
      <c r="A65" s="9"/>
      <c r="B65" s="9"/>
      <c r="C65" s="10"/>
      <c r="D65" s="11" t="s">
        <v>2</v>
      </c>
      <c r="E65" s="10"/>
      <c r="G65" s="10"/>
      <c r="H65" s="10"/>
      <c r="I65" s="11" t="s">
        <v>2</v>
      </c>
      <c r="J65" s="10"/>
      <c r="K65" s="10"/>
      <c r="L65" s="10"/>
    </row>
    <row r="66" spans="1:12" x14ac:dyDescent="0.2">
      <c r="A66" s="12" t="s">
        <v>380</v>
      </c>
      <c r="B66" s="12"/>
      <c r="C66" s="13"/>
      <c r="D66" s="1" t="s">
        <v>2</v>
      </c>
      <c r="E66" s="13"/>
      <c r="F66" s="1"/>
      <c r="G66" s="13"/>
      <c r="H66" s="13"/>
      <c r="I66" s="1" t="s">
        <v>2</v>
      </c>
      <c r="J66" s="13"/>
      <c r="K66" s="13"/>
      <c r="L66" s="13"/>
    </row>
    <row r="67" spans="1:12" x14ac:dyDescent="0.2">
      <c r="A67" s="14" t="s">
        <v>167</v>
      </c>
      <c r="B67" s="9" t="s">
        <v>381</v>
      </c>
      <c r="C67" s="16">
        <v>0</v>
      </c>
      <c r="D67" s="11" t="s">
        <v>2</v>
      </c>
      <c r="E67" s="16">
        <v>0</v>
      </c>
      <c r="F67" s="70"/>
      <c r="G67" s="16">
        <v>0</v>
      </c>
      <c r="H67" s="25">
        <v>0</v>
      </c>
      <c r="I67" s="11" t="s">
        <v>2</v>
      </c>
      <c r="J67" s="16">
        <v>0</v>
      </c>
      <c r="K67" s="25">
        <v>0</v>
      </c>
      <c r="L67" s="16">
        <v>653</v>
      </c>
    </row>
    <row r="68" spans="1:12" x14ac:dyDescent="0.2">
      <c r="A68" s="14" t="s">
        <v>102</v>
      </c>
      <c r="B68" s="9" t="s">
        <v>382</v>
      </c>
      <c r="C68" s="16">
        <v>0</v>
      </c>
      <c r="D68" s="11" t="s">
        <v>2</v>
      </c>
      <c r="E68" s="16">
        <v>325</v>
      </c>
      <c r="F68" s="70"/>
      <c r="G68" s="16">
        <v>0</v>
      </c>
      <c r="H68" s="25">
        <v>0</v>
      </c>
      <c r="I68" s="11" t="s">
        <v>2</v>
      </c>
      <c r="J68" s="16">
        <v>0</v>
      </c>
      <c r="K68" s="25">
        <v>0</v>
      </c>
      <c r="L68" s="16">
        <v>402</v>
      </c>
    </row>
    <row r="69" spans="1:12" x14ac:dyDescent="0.2">
      <c r="A69" s="9"/>
      <c r="B69" s="9"/>
      <c r="C69" s="10"/>
      <c r="D69" s="11" t="s">
        <v>2</v>
      </c>
      <c r="E69" s="10"/>
      <c r="G69" s="10"/>
      <c r="H69" s="10"/>
      <c r="I69" s="11" t="s">
        <v>2</v>
      </c>
      <c r="J69" s="10"/>
      <c r="K69" s="10"/>
      <c r="L69" s="10"/>
    </row>
    <row r="70" spans="1:12" x14ac:dyDescent="0.2">
      <c r="A70" s="12" t="s">
        <v>383</v>
      </c>
      <c r="B70" s="12"/>
      <c r="C70" s="13"/>
      <c r="D70" s="1" t="s">
        <v>2</v>
      </c>
      <c r="E70" s="13"/>
      <c r="F70" s="1"/>
      <c r="G70" s="13"/>
      <c r="H70" s="13"/>
      <c r="I70" s="1" t="s">
        <v>2</v>
      </c>
      <c r="J70" s="13"/>
      <c r="K70" s="13"/>
      <c r="L70" s="13"/>
    </row>
    <row r="71" spans="1:12" x14ac:dyDescent="0.2">
      <c r="A71" s="14" t="s">
        <v>384</v>
      </c>
      <c r="B71" s="9" t="s">
        <v>385</v>
      </c>
      <c r="C71" s="16">
        <v>0</v>
      </c>
      <c r="D71" s="11" t="s">
        <v>2</v>
      </c>
      <c r="E71" s="16">
        <v>548</v>
      </c>
      <c r="F71" s="70"/>
      <c r="G71" s="16">
        <v>0</v>
      </c>
      <c r="H71" s="25">
        <v>0</v>
      </c>
      <c r="I71" s="11" t="s">
        <v>2</v>
      </c>
      <c r="J71" s="16">
        <v>0</v>
      </c>
      <c r="K71" s="25">
        <v>0</v>
      </c>
      <c r="L71" s="16">
        <v>0</v>
      </c>
    </row>
    <row r="72" spans="1:12" x14ac:dyDescent="0.2">
      <c r="A72" s="14" t="s">
        <v>386</v>
      </c>
      <c r="B72" s="9" t="s">
        <v>387</v>
      </c>
      <c r="C72" s="16">
        <v>0</v>
      </c>
      <c r="D72" s="11" t="s">
        <v>2</v>
      </c>
      <c r="E72" s="16">
        <v>2678</v>
      </c>
      <c r="F72" s="70"/>
      <c r="G72" s="16">
        <v>12000</v>
      </c>
      <c r="H72" s="25">
        <v>0.24341909090909999</v>
      </c>
      <c r="I72" s="11" t="s">
        <v>2</v>
      </c>
      <c r="J72" s="16">
        <v>12000</v>
      </c>
      <c r="K72" s="25">
        <v>0.2231341666667</v>
      </c>
      <c r="L72" s="16">
        <v>1765</v>
      </c>
    </row>
    <row r="73" spans="1:12" x14ac:dyDescent="0.2">
      <c r="A73" s="14" t="s">
        <v>388</v>
      </c>
      <c r="B73" s="9" t="s">
        <v>389</v>
      </c>
      <c r="C73" s="16">
        <v>0</v>
      </c>
      <c r="D73" s="11" t="s">
        <v>2</v>
      </c>
      <c r="E73" s="16">
        <v>697</v>
      </c>
      <c r="F73" s="70"/>
      <c r="G73" s="16">
        <v>0</v>
      </c>
      <c r="H73" s="25">
        <v>0</v>
      </c>
      <c r="I73" s="11" t="s">
        <v>2</v>
      </c>
      <c r="J73" s="16">
        <v>0</v>
      </c>
      <c r="K73" s="25">
        <v>0</v>
      </c>
      <c r="L73" s="16">
        <v>465</v>
      </c>
    </row>
    <row r="74" spans="1:12" x14ac:dyDescent="0.2">
      <c r="A74" s="14" t="s">
        <v>390</v>
      </c>
      <c r="B74" s="9" t="s">
        <v>391</v>
      </c>
      <c r="C74" s="16">
        <v>0</v>
      </c>
      <c r="D74" s="11" t="s">
        <v>2</v>
      </c>
      <c r="E74" s="16">
        <v>0</v>
      </c>
      <c r="F74" s="70"/>
      <c r="G74" s="16">
        <v>0</v>
      </c>
      <c r="H74" s="25">
        <v>0</v>
      </c>
      <c r="I74" s="11" t="s">
        <v>2</v>
      </c>
      <c r="J74" s="16">
        <v>0</v>
      </c>
      <c r="K74" s="25">
        <v>0</v>
      </c>
      <c r="L74" s="16">
        <v>443</v>
      </c>
    </row>
    <row r="75" spans="1:12" x14ac:dyDescent="0.2">
      <c r="A75" s="14" t="s">
        <v>159</v>
      </c>
      <c r="B75" s="9" t="s">
        <v>392</v>
      </c>
      <c r="C75" s="16">
        <v>0</v>
      </c>
      <c r="D75" s="11" t="s">
        <v>2</v>
      </c>
      <c r="E75" s="16">
        <v>36</v>
      </c>
      <c r="F75" s="70"/>
      <c r="G75" s="16">
        <v>0</v>
      </c>
      <c r="H75" s="25">
        <v>0</v>
      </c>
      <c r="I75" s="11" t="s">
        <v>2</v>
      </c>
      <c r="J75" s="16">
        <v>0</v>
      </c>
      <c r="K75" s="25">
        <v>0</v>
      </c>
      <c r="L75" s="16">
        <v>0</v>
      </c>
    </row>
    <row r="76" spans="1:12" x14ac:dyDescent="0.2">
      <c r="A76" s="14" t="s">
        <v>303</v>
      </c>
      <c r="B76" s="9" t="s">
        <v>393</v>
      </c>
      <c r="C76" s="16">
        <v>0</v>
      </c>
      <c r="D76" s="11" t="s">
        <v>2</v>
      </c>
      <c r="E76" s="16">
        <v>0</v>
      </c>
      <c r="F76" s="70"/>
      <c r="G76" s="16">
        <v>0</v>
      </c>
      <c r="H76" s="25">
        <v>0</v>
      </c>
      <c r="I76" s="11" t="s">
        <v>2</v>
      </c>
      <c r="J76" s="16">
        <v>0</v>
      </c>
      <c r="K76" s="25">
        <v>0</v>
      </c>
      <c r="L76" s="16">
        <v>9</v>
      </c>
    </row>
    <row r="77" spans="1:12" x14ac:dyDescent="0.2">
      <c r="A77" s="14" t="s">
        <v>311</v>
      </c>
      <c r="B77" s="9" t="s">
        <v>394</v>
      </c>
      <c r="C77" s="16">
        <v>0</v>
      </c>
      <c r="D77" s="11" t="s">
        <v>2</v>
      </c>
      <c r="E77" s="16">
        <v>7870</v>
      </c>
      <c r="F77" s="70"/>
      <c r="G77" s="16">
        <v>0</v>
      </c>
      <c r="H77" s="25">
        <v>0</v>
      </c>
      <c r="I77" s="11" t="s">
        <v>2</v>
      </c>
      <c r="J77" s="16">
        <v>0</v>
      </c>
      <c r="K77" s="25">
        <v>0</v>
      </c>
      <c r="L77" s="16">
        <v>0</v>
      </c>
    </row>
    <row r="78" spans="1:12" x14ac:dyDescent="0.2">
      <c r="A78" s="14" t="s">
        <v>339</v>
      </c>
      <c r="B78" s="9" t="s">
        <v>395</v>
      </c>
      <c r="C78" s="16">
        <v>56</v>
      </c>
      <c r="D78" s="11" t="s">
        <v>2</v>
      </c>
      <c r="E78" s="16">
        <v>56</v>
      </c>
      <c r="F78" s="70"/>
      <c r="G78" s="16">
        <v>300</v>
      </c>
      <c r="H78" s="25">
        <v>0</v>
      </c>
      <c r="I78" s="11" t="s">
        <v>2</v>
      </c>
      <c r="J78" s="16">
        <v>300</v>
      </c>
      <c r="K78" s="25">
        <v>0</v>
      </c>
      <c r="L78" s="16">
        <v>341</v>
      </c>
    </row>
    <row r="79" spans="1:12" x14ac:dyDescent="0.2">
      <c r="A79" s="14" t="s">
        <v>396</v>
      </c>
      <c r="B79" s="9" t="s">
        <v>397</v>
      </c>
      <c r="C79" s="16">
        <v>0</v>
      </c>
      <c r="D79" s="11" t="s">
        <v>2</v>
      </c>
      <c r="E79" s="16">
        <v>0</v>
      </c>
      <c r="F79" s="70"/>
      <c r="G79" s="16">
        <v>0</v>
      </c>
      <c r="H79" s="25">
        <v>0</v>
      </c>
      <c r="I79" s="11" t="s">
        <v>2</v>
      </c>
      <c r="J79" s="16">
        <v>0</v>
      </c>
      <c r="K79" s="25">
        <v>0</v>
      </c>
      <c r="L79" s="16">
        <v>4124</v>
      </c>
    </row>
    <row r="80" spans="1:12" x14ac:dyDescent="0.2">
      <c r="A80" s="14" t="s">
        <v>138</v>
      </c>
      <c r="B80" s="9" t="s">
        <v>398</v>
      </c>
      <c r="C80" s="16">
        <v>0</v>
      </c>
      <c r="D80" s="11" t="s">
        <v>2</v>
      </c>
      <c r="E80" s="16">
        <v>0</v>
      </c>
      <c r="F80" s="70"/>
      <c r="G80" s="16">
        <v>0</v>
      </c>
      <c r="H80" s="25">
        <v>0</v>
      </c>
      <c r="I80" s="11" t="s">
        <v>2</v>
      </c>
      <c r="J80" s="16">
        <v>0</v>
      </c>
      <c r="K80" s="25">
        <v>0</v>
      </c>
      <c r="L80" s="16">
        <v>660</v>
      </c>
    </row>
    <row r="81" spans="1:12" x14ac:dyDescent="0.2">
      <c r="A81" s="14" t="s">
        <v>399</v>
      </c>
      <c r="B81" s="9" t="s">
        <v>400</v>
      </c>
      <c r="C81" s="16">
        <v>0</v>
      </c>
      <c r="D81" s="11" t="s">
        <v>2</v>
      </c>
      <c r="E81" s="16">
        <v>0</v>
      </c>
      <c r="F81" s="70"/>
      <c r="G81" s="16">
        <v>12000</v>
      </c>
      <c r="H81" s="25">
        <v>0</v>
      </c>
      <c r="I81" s="11" t="s">
        <v>2</v>
      </c>
      <c r="J81" s="16">
        <v>12000</v>
      </c>
      <c r="K81" s="25">
        <v>0</v>
      </c>
      <c r="L81" s="16">
        <v>0</v>
      </c>
    </row>
    <row r="82" spans="1:12" x14ac:dyDescent="0.2">
      <c r="A82" s="14" t="s">
        <v>167</v>
      </c>
      <c r="B82" s="9" t="s">
        <v>401</v>
      </c>
      <c r="C82" s="16">
        <v>262</v>
      </c>
      <c r="D82" s="11" t="s">
        <v>2</v>
      </c>
      <c r="E82" s="16">
        <f>262+1969</f>
        <v>2231</v>
      </c>
      <c r="F82" s="70"/>
      <c r="G82" s="16">
        <v>3600</v>
      </c>
      <c r="H82" s="25">
        <v>0.59651515151519996</v>
      </c>
      <c r="I82" s="11" t="s">
        <v>2</v>
      </c>
      <c r="J82" s="16">
        <v>3600</v>
      </c>
      <c r="K82" s="25">
        <v>0.54680555555559995</v>
      </c>
      <c r="L82" s="16">
        <v>7409</v>
      </c>
    </row>
    <row r="83" spans="1:12" x14ac:dyDescent="0.2">
      <c r="A83" s="14" t="s">
        <v>141</v>
      </c>
      <c r="B83" s="9" t="s">
        <v>402</v>
      </c>
      <c r="C83" s="16">
        <v>0</v>
      </c>
      <c r="D83" s="11" t="s">
        <v>2</v>
      </c>
      <c r="E83" s="16">
        <v>0</v>
      </c>
      <c r="F83" s="70"/>
      <c r="G83" s="16">
        <v>100</v>
      </c>
      <c r="H83" s="25">
        <v>0</v>
      </c>
      <c r="I83" s="11" t="s">
        <v>2</v>
      </c>
      <c r="J83" s="16">
        <v>100</v>
      </c>
      <c r="K83" s="25">
        <v>0</v>
      </c>
      <c r="L83" s="16">
        <v>328</v>
      </c>
    </row>
    <row r="84" spans="1:12" x14ac:dyDescent="0.2">
      <c r="A84" s="14" t="s">
        <v>403</v>
      </c>
      <c r="B84" s="9" t="s">
        <v>404</v>
      </c>
      <c r="C84" s="16">
        <v>0</v>
      </c>
      <c r="D84" s="11" t="s">
        <v>2</v>
      </c>
      <c r="E84" s="16">
        <v>1273</v>
      </c>
      <c r="F84" s="70"/>
      <c r="G84" s="16">
        <v>5500</v>
      </c>
      <c r="H84" s="25">
        <v>0.23311241303550001</v>
      </c>
      <c r="I84" s="11" t="s">
        <v>2</v>
      </c>
      <c r="J84" s="16">
        <v>5500</v>
      </c>
      <c r="K84" s="25">
        <v>0.23150181818179999</v>
      </c>
      <c r="L84" s="16">
        <v>455</v>
      </c>
    </row>
    <row r="85" spans="1:12" x14ac:dyDescent="0.2">
      <c r="A85" s="14" t="s">
        <v>405</v>
      </c>
      <c r="B85" s="9" t="s">
        <v>406</v>
      </c>
      <c r="C85" s="16">
        <v>0</v>
      </c>
      <c r="D85" s="11" t="s">
        <v>2</v>
      </c>
      <c r="E85" s="16">
        <v>2250</v>
      </c>
      <c r="F85" s="70"/>
      <c r="G85" s="16">
        <v>0</v>
      </c>
      <c r="H85" s="25">
        <v>0</v>
      </c>
      <c r="I85" s="11" t="s">
        <v>2</v>
      </c>
      <c r="J85" s="16">
        <v>0</v>
      </c>
      <c r="K85" s="25">
        <v>0</v>
      </c>
      <c r="L85" s="16">
        <v>1180</v>
      </c>
    </row>
    <row r="86" spans="1:12" x14ac:dyDescent="0.2">
      <c r="A86" s="14" t="s">
        <v>407</v>
      </c>
      <c r="B86" s="9" t="s">
        <v>408</v>
      </c>
      <c r="C86" s="16">
        <v>0</v>
      </c>
      <c r="D86" s="11" t="s">
        <v>2</v>
      </c>
      <c r="E86" s="16">
        <v>0</v>
      </c>
      <c r="F86" s="70"/>
      <c r="G86" s="16">
        <v>0</v>
      </c>
      <c r="H86" s="25">
        <v>0</v>
      </c>
      <c r="I86" s="11" t="s">
        <v>2</v>
      </c>
      <c r="J86" s="16">
        <v>0</v>
      </c>
      <c r="K86" s="25">
        <v>0</v>
      </c>
      <c r="L86" s="16">
        <v>194</v>
      </c>
    </row>
    <row r="87" spans="1:12" x14ac:dyDescent="0.2">
      <c r="A87" s="14" t="s">
        <v>146</v>
      </c>
      <c r="B87" s="9" t="s">
        <v>409</v>
      </c>
      <c r="C87" s="16">
        <v>0</v>
      </c>
      <c r="D87" s="11" t="s">
        <v>2</v>
      </c>
      <c r="E87" s="16">
        <v>2032</v>
      </c>
      <c r="F87" s="70"/>
      <c r="G87" s="16">
        <v>1800</v>
      </c>
      <c r="H87" s="25">
        <v>1.2315090909091</v>
      </c>
      <c r="I87" s="11" t="s">
        <v>2</v>
      </c>
      <c r="J87" s="16">
        <v>1800</v>
      </c>
      <c r="K87" s="25">
        <v>1.1288833333332999</v>
      </c>
      <c r="L87" s="16">
        <v>3218</v>
      </c>
    </row>
    <row r="88" spans="1:12" x14ac:dyDescent="0.2">
      <c r="A88" s="14" t="s">
        <v>190</v>
      </c>
      <c r="B88" s="9" t="s">
        <v>410</v>
      </c>
      <c r="C88" s="16">
        <v>0</v>
      </c>
      <c r="D88" s="11" t="s">
        <v>2</v>
      </c>
      <c r="E88" s="16">
        <v>697</v>
      </c>
      <c r="F88" s="70"/>
      <c r="G88" s="16">
        <v>6000</v>
      </c>
      <c r="H88" s="25">
        <v>0.1160833333333</v>
      </c>
      <c r="I88" s="11" t="s">
        <v>2</v>
      </c>
      <c r="J88" s="16">
        <v>6000</v>
      </c>
      <c r="K88" s="25">
        <v>0.1160833333333</v>
      </c>
      <c r="L88" s="16">
        <v>2178</v>
      </c>
    </row>
    <row r="89" spans="1:12" x14ac:dyDescent="0.2">
      <c r="A89" s="14" t="s">
        <v>411</v>
      </c>
      <c r="B89" s="9" t="s">
        <v>412</v>
      </c>
      <c r="C89" s="16">
        <v>13000</v>
      </c>
      <c r="D89" s="11" t="s">
        <v>2</v>
      </c>
      <c r="E89" s="16">
        <f>13000+143000</f>
        <v>156000</v>
      </c>
      <c r="F89" s="70"/>
      <c r="G89" s="16">
        <v>156000</v>
      </c>
      <c r="H89" s="25">
        <v>1</v>
      </c>
      <c r="I89" s="11" t="s">
        <v>2</v>
      </c>
      <c r="J89" s="16">
        <v>156000</v>
      </c>
      <c r="K89" s="25">
        <v>0.91666666666670005</v>
      </c>
      <c r="L89" s="16">
        <v>146000</v>
      </c>
    </row>
    <row r="90" spans="1:12" x14ac:dyDescent="0.2">
      <c r="A90" s="14" t="s">
        <v>413</v>
      </c>
      <c r="B90" s="9" t="s">
        <v>414</v>
      </c>
      <c r="C90" s="16">
        <v>2497</v>
      </c>
      <c r="D90" s="11" t="s">
        <v>2</v>
      </c>
      <c r="E90" s="16">
        <f>2497+7097</f>
        <v>9594</v>
      </c>
      <c r="F90" s="70"/>
      <c r="G90" s="16">
        <v>36000</v>
      </c>
      <c r="H90" s="25">
        <v>0.21505575757580001</v>
      </c>
      <c r="I90" s="11" t="s">
        <v>2</v>
      </c>
      <c r="J90" s="16">
        <v>36000</v>
      </c>
      <c r="K90" s="25">
        <v>0.19713444444440001</v>
      </c>
      <c r="L90" s="16">
        <v>27859</v>
      </c>
    </row>
    <row r="91" spans="1:12" x14ac:dyDescent="0.2">
      <c r="A91" s="14" t="s">
        <v>151</v>
      </c>
      <c r="B91" s="9" t="s">
        <v>415</v>
      </c>
      <c r="C91" s="16">
        <v>17</v>
      </c>
      <c r="D91" s="11" t="s">
        <v>2</v>
      </c>
      <c r="E91" s="16">
        <f>17+254</f>
        <v>271</v>
      </c>
      <c r="F91" s="70"/>
      <c r="G91" s="16">
        <v>0</v>
      </c>
      <c r="H91" s="25">
        <v>0</v>
      </c>
      <c r="I91" s="11" t="s">
        <v>2</v>
      </c>
      <c r="J91" s="16">
        <v>0</v>
      </c>
      <c r="K91" s="25">
        <v>0</v>
      </c>
      <c r="L91" s="16">
        <v>539</v>
      </c>
    </row>
    <row r="92" spans="1:12" x14ac:dyDescent="0.2">
      <c r="A92" s="14" t="s">
        <v>416</v>
      </c>
      <c r="B92" s="9" t="s">
        <v>417</v>
      </c>
      <c r="C92" s="16">
        <v>0</v>
      </c>
      <c r="D92" s="11" t="s">
        <v>2</v>
      </c>
      <c r="E92" s="16">
        <v>0</v>
      </c>
      <c r="F92" s="70"/>
      <c r="G92" s="16">
        <v>0</v>
      </c>
      <c r="H92" s="25">
        <v>0</v>
      </c>
      <c r="I92" s="11" t="s">
        <v>2</v>
      </c>
      <c r="J92" s="16">
        <v>0</v>
      </c>
      <c r="K92" s="25">
        <v>0</v>
      </c>
      <c r="L92" s="16">
        <v>39</v>
      </c>
    </row>
    <row r="93" spans="1:12" x14ac:dyDescent="0.2">
      <c r="A93" s="14"/>
      <c r="B93" s="9"/>
      <c r="C93" s="10"/>
      <c r="D93" s="11" t="s">
        <v>2</v>
      </c>
      <c r="E93" s="10"/>
      <c r="G93" s="10"/>
      <c r="H93" s="10"/>
      <c r="I93" s="11" t="s">
        <v>2</v>
      </c>
      <c r="J93" s="10"/>
      <c r="K93" s="10"/>
      <c r="L93" s="10"/>
    </row>
    <row r="94" spans="1:12" x14ac:dyDescent="0.2">
      <c r="A94" s="14"/>
      <c r="B94" s="9"/>
      <c r="C94" s="10"/>
      <c r="D94" s="11" t="s">
        <v>2</v>
      </c>
      <c r="E94" s="10"/>
      <c r="G94" s="10"/>
      <c r="H94" s="10"/>
      <c r="I94" s="11" t="s">
        <v>2</v>
      </c>
      <c r="J94" s="10"/>
      <c r="K94" s="10"/>
      <c r="L94" s="10"/>
    </row>
    <row r="95" spans="1:12" x14ac:dyDescent="0.2">
      <c r="A95" s="9"/>
      <c r="B95" s="9"/>
      <c r="C95" s="10"/>
      <c r="D95" s="11" t="s">
        <v>2</v>
      </c>
      <c r="E95" s="10"/>
      <c r="G95" s="10"/>
      <c r="H95" s="10"/>
      <c r="I95" s="11" t="s">
        <v>2</v>
      </c>
      <c r="J95" s="10"/>
      <c r="K95" s="10"/>
      <c r="L95" s="10"/>
    </row>
    <row r="96" spans="1:12" x14ac:dyDescent="0.2">
      <c r="A96" s="9"/>
      <c r="B96" s="9"/>
      <c r="C96" s="19"/>
      <c r="D96" s="11" t="s">
        <v>2</v>
      </c>
      <c r="E96" s="19"/>
      <c r="F96" s="71"/>
      <c r="G96" s="19"/>
      <c r="H96" s="19"/>
      <c r="I96" s="11" t="s">
        <v>2</v>
      </c>
      <c r="J96" s="19"/>
      <c r="K96" s="19"/>
      <c r="L96" s="19"/>
    </row>
    <row r="97" spans="1:12" x14ac:dyDescent="0.2">
      <c r="A97" s="22" t="s">
        <v>59</v>
      </c>
      <c r="B97" s="22"/>
      <c r="C97" s="27">
        <f>SUM(C11:C96)</f>
        <v>22968</v>
      </c>
      <c r="D97" s="24" t="s">
        <v>2</v>
      </c>
      <c r="E97" s="27">
        <f>SUM(E11:E96)</f>
        <v>256839</v>
      </c>
      <c r="F97" s="72"/>
      <c r="G97" s="27">
        <f>SUM(G11:G96)</f>
        <v>304695</v>
      </c>
      <c r="H97" s="28">
        <v>0.81713923838339997</v>
      </c>
      <c r="I97" s="24" t="s">
        <v>2</v>
      </c>
      <c r="J97" s="27">
        <f>SUM(J11:J96)</f>
        <v>304695</v>
      </c>
      <c r="K97" s="28">
        <v>0.76755762319700005</v>
      </c>
      <c r="L97" s="27">
        <f>SUM(L11:L96)</f>
        <v>242145</v>
      </c>
    </row>
    <row r="98" spans="1:12" x14ac:dyDescent="0.2">
      <c r="A98" s="9"/>
      <c r="B98" s="9"/>
      <c r="C98" s="10"/>
      <c r="D98" s="11" t="s">
        <v>2</v>
      </c>
      <c r="E98" s="10"/>
      <c r="G98" s="10"/>
      <c r="H98" s="10"/>
      <c r="I98" s="11" t="s">
        <v>2</v>
      </c>
      <c r="J98" s="10"/>
      <c r="K98" s="10"/>
      <c r="L98" s="10"/>
    </row>
    <row r="99" spans="1:12" x14ac:dyDescent="0.2">
      <c r="A99" s="9"/>
      <c r="B99" s="9"/>
      <c r="C99" s="19"/>
      <c r="D99" s="11" t="s">
        <v>2</v>
      </c>
      <c r="E99" s="79"/>
      <c r="F99" s="71"/>
      <c r="G99" s="19"/>
      <c r="H99" s="19"/>
      <c r="I99" s="11" t="s">
        <v>2</v>
      </c>
      <c r="J99" s="19"/>
      <c r="K99" s="19"/>
      <c r="L99" s="19"/>
    </row>
    <row r="100" spans="1:12" x14ac:dyDescent="0.2">
      <c r="A100" s="30" t="s">
        <v>418</v>
      </c>
      <c r="B100" s="30"/>
      <c r="C100" s="31">
        <f>-C97</f>
        <v>-22968</v>
      </c>
      <c r="D100" s="32" t="s">
        <v>2</v>
      </c>
      <c r="E100" s="31">
        <f>-E97</f>
        <v>-256839</v>
      </c>
      <c r="F100" s="31"/>
      <c r="G100" s="31">
        <f>-G97</f>
        <v>-304695</v>
      </c>
      <c r="H100" s="33">
        <v>0.81713923838339997</v>
      </c>
      <c r="I100" s="32" t="s">
        <v>2</v>
      </c>
      <c r="J100" s="31">
        <f>-J97</f>
        <v>-304695</v>
      </c>
      <c r="K100" s="33">
        <v>0.76755762319700005</v>
      </c>
      <c r="L100" s="31">
        <f>-L97</f>
        <v>-242145</v>
      </c>
    </row>
    <row r="101" spans="1:12" x14ac:dyDescent="0.2">
      <c r="A101" s="9"/>
      <c r="B101" s="9"/>
      <c r="C101" s="29"/>
      <c r="D101" s="11" t="s">
        <v>2</v>
      </c>
      <c r="E101" s="29"/>
      <c r="F101" s="73"/>
      <c r="G101" s="29"/>
      <c r="H101" s="29"/>
      <c r="I101" s="11" t="s">
        <v>2</v>
      </c>
      <c r="J101" s="29"/>
      <c r="K101" s="29"/>
      <c r="L101" s="29"/>
    </row>
    <row r="102" spans="1:12" x14ac:dyDescent="0.2">
      <c r="A102" s="9"/>
      <c r="B102" s="9"/>
      <c r="C102" s="10"/>
      <c r="D102" s="11" t="s">
        <v>2</v>
      </c>
      <c r="E102" s="15"/>
      <c r="G102" s="10"/>
      <c r="H102" s="10"/>
      <c r="I102" s="11" t="s">
        <v>2</v>
      </c>
      <c r="J102" s="10"/>
      <c r="K102" s="10"/>
      <c r="L102" s="10"/>
    </row>
    <row r="103" spans="1:12" x14ac:dyDescent="0.2">
      <c r="A103" s="9"/>
      <c r="B103" s="9"/>
      <c r="C103" s="10"/>
      <c r="D103" s="11" t="s">
        <v>2</v>
      </c>
      <c r="E103" s="10"/>
      <c r="G103" s="10"/>
      <c r="H103" s="10"/>
      <c r="I103" s="11" t="s">
        <v>2</v>
      </c>
      <c r="J103" s="10"/>
      <c r="K103" s="10"/>
      <c r="L103" s="10"/>
    </row>
  </sheetData>
  <mergeCells count="6">
    <mergeCell ref="E5:H5"/>
    <mergeCell ref="J5:L5"/>
    <mergeCell ref="A1:L1"/>
    <mergeCell ref="A2:L2"/>
    <mergeCell ref="A3:L3"/>
    <mergeCell ref="A4:L4"/>
  </mergeCells>
  <printOptions horizontalCentered="1"/>
  <pageMargins left="0.75" right="0.75" top="0.75" bottom="0.75" header="0.03" footer="0.03"/>
  <pageSetup scale="85" fitToHeight="0" pageOrder="overThenDown" orientation="landscape" r:id="rId1"/>
  <headerFooter>
    <oddHeader>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6"/>
  <sheetViews>
    <sheetView tabSelected="1" view="pageLayout" workbookViewId="0">
      <selection activeCell="F28" sqref="F28"/>
    </sheetView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76">
        <v>43435</v>
      </c>
      <c r="E1" s="86" t="s">
        <v>37</v>
      </c>
      <c r="F1" s="86"/>
      <c r="G1" s="86"/>
      <c r="I1" s="86" t="s">
        <v>40</v>
      </c>
      <c r="J1" s="86"/>
      <c r="K1" s="86"/>
    </row>
    <row r="2" spans="1:11" x14ac:dyDescent="0.2">
      <c r="G2" s="1" t="s">
        <v>36</v>
      </c>
      <c r="J2" s="1" t="s">
        <v>36</v>
      </c>
      <c r="K2" s="1" t="s">
        <v>41</v>
      </c>
    </row>
    <row r="3" spans="1:11" x14ac:dyDescent="0.2">
      <c r="C3" s="2" t="s">
        <v>36</v>
      </c>
      <c r="E3" s="2" t="s">
        <v>36</v>
      </c>
      <c r="F3" s="2" t="s">
        <v>38</v>
      </c>
      <c r="G3" s="2" t="s">
        <v>39</v>
      </c>
      <c r="I3" s="2" t="s">
        <v>38</v>
      </c>
      <c r="J3" s="2" t="s">
        <v>39</v>
      </c>
      <c r="K3" s="2" t="s">
        <v>36</v>
      </c>
    </row>
    <row r="4" spans="1:11" x14ac:dyDescent="0.2">
      <c r="A4" s="9"/>
      <c r="B4" s="9"/>
      <c r="C4" s="10"/>
      <c r="D4" s="11" t="s">
        <v>2</v>
      </c>
      <c r="E4" s="10"/>
      <c r="F4" s="10"/>
      <c r="G4" s="10"/>
      <c r="H4" s="11" t="s">
        <v>2</v>
      </c>
      <c r="I4" s="10"/>
      <c r="J4" s="10"/>
      <c r="K4" s="10"/>
    </row>
    <row r="5" spans="1:11" x14ac:dyDescent="0.2">
      <c r="A5" s="9"/>
      <c r="B5" s="9"/>
      <c r="C5" s="10"/>
      <c r="D5" s="11" t="s">
        <v>2</v>
      </c>
      <c r="E5" s="10"/>
      <c r="F5" s="10"/>
      <c r="G5" s="10"/>
      <c r="H5" s="11" t="s">
        <v>2</v>
      </c>
      <c r="I5" s="10"/>
      <c r="J5" s="10"/>
      <c r="K5" s="10"/>
    </row>
    <row r="6" spans="1:11" x14ac:dyDescent="0.2">
      <c r="A6" s="22" t="s">
        <v>62</v>
      </c>
      <c r="B6" s="22"/>
      <c r="C6" s="23"/>
      <c r="D6" s="24" t="s">
        <v>2</v>
      </c>
      <c r="E6" s="23"/>
      <c r="F6" s="23"/>
      <c r="G6" s="23"/>
      <c r="H6" s="24" t="s">
        <v>2</v>
      </c>
      <c r="I6" s="23"/>
      <c r="J6" s="23"/>
      <c r="K6" s="23"/>
    </row>
    <row r="7" spans="1:11" x14ac:dyDescent="0.2">
      <c r="A7" s="9"/>
      <c r="B7" s="9"/>
      <c r="C7" s="10"/>
      <c r="D7" s="11" t="s">
        <v>2</v>
      </c>
      <c r="E7" s="10"/>
      <c r="F7" s="10"/>
      <c r="G7" s="10"/>
      <c r="H7" s="11" t="s">
        <v>2</v>
      </c>
      <c r="I7" s="10"/>
      <c r="J7" s="10"/>
      <c r="K7" s="10"/>
    </row>
    <row r="8" spans="1:11" x14ac:dyDescent="0.2">
      <c r="A8" s="14" t="s">
        <v>419</v>
      </c>
      <c r="B8" s="9" t="s">
        <v>420</v>
      </c>
      <c r="C8" s="15">
        <v>2</v>
      </c>
      <c r="D8" s="11" t="s">
        <v>2</v>
      </c>
      <c r="E8" s="15">
        <v>14403</v>
      </c>
      <c r="F8" s="15">
        <v>13200</v>
      </c>
      <c r="G8" s="25">
        <v>1.1902157024793001</v>
      </c>
      <c r="H8" s="11" t="s">
        <v>2</v>
      </c>
      <c r="I8" s="15">
        <v>13200</v>
      </c>
      <c r="J8" s="25">
        <v>1.0910310606061</v>
      </c>
      <c r="K8" s="15">
        <v>19589</v>
      </c>
    </row>
    <row r="9" spans="1:11" x14ac:dyDescent="0.2">
      <c r="A9" s="14" t="s">
        <v>421</v>
      </c>
      <c r="B9" s="9" t="s">
        <v>422</v>
      </c>
      <c r="C9" s="16">
        <v>0</v>
      </c>
      <c r="D9" s="11" t="s">
        <v>2</v>
      </c>
      <c r="E9" s="16">
        <v>-23856</v>
      </c>
      <c r="F9" s="16">
        <v>60000</v>
      </c>
      <c r="G9" s="25">
        <v>-0.43374218181820001</v>
      </c>
      <c r="H9" s="11" t="s">
        <v>2</v>
      </c>
      <c r="I9" s="16">
        <v>60000</v>
      </c>
      <c r="J9" s="25">
        <v>-0.39759699999999998</v>
      </c>
      <c r="K9" s="16">
        <v>66698</v>
      </c>
    </row>
    <row r="10" spans="1:11" x14ac:dyDescent="0.2">
      <c r="A10" s="9"/>
      <c r="B10" s="9"/>
      <c r="C10" s="19"/>
      <c r="D10" s="11" t="s">
        <v>2</v>
      </c>
      <c r="E10" s="19"/>
      <c r="F10" s="19"/>
      <c r="G10" s="19"/>
      <c r="H10" s="11" t="s">
        <v>2</v>
      </c>
      <c r="I10" s="19"/>
      <c r="J10" s="19"/>
      <c r="K10" s="19"/>
    </row>
    <row r="11" spans="1:11" x14ac:dyDescent="0.2">
      <c r="A11" s="22" t="s">
        <v>51</v>
      </c>
      <c r="B11" s="22"/>
      <c r="C11" s="27">
        <f>SUM(C8:C10)</f>
        <v>2</v>
      </c>
      <c r="D11" s="24" t="s">
        <v>2</v>
      </c>
      <c r="E11" s="27">
        <f>SUM(E8:E10)</f>
        <v>-9453</v>
      </c>
      <c r="F11" s="27">
        <f>SUM(F8:F10)</f>
        <v>73200</v>
      </c>
      <c r="G11" s="28">
        <v>-0.1408973174367</v>
      </c>
      <c r="H11" s="24" t="s">
        <v>2</v>
      </c>
      <c r="I11" s="27">
        <f>SUM(I8:I10)</f>
        <v>73200</v>
      </c>
      <c r="J11" s="28">
        <v>-0.12915587431690001</v>
      </c>
      <c r="K11" s="27">
        <f>SUM(K8:K10)</f>
        <v>86287</v>
      </c>
    </row>
    <row r="12" spans="1:11" x14ac:dyDescent="0.2">
      <c r="A12" s="9"/>
      <c r="B12" s="9"/>
      <c r="C12" s="10"/>
      <c r="D12" s="11" t="s">
        <v>2</v>
      </c>
      <c r="E12" s="10"/>
      <c r="F12" s="10"/>
      <c r="G12" s="10"/>
      <c r="H12" s="11" t="s">
        <v>2</v>
      </c>
      <c r="I12" s="10"/>
      <c r="J12" s="10"/>
      <c r="K12" s="10"/>
    </row>
    <row r="13" spans="1:11" x14ac:dyDescent="0.2">
      <c r="A13" s="9"/>
      <c r="B13" s="9"/>
      <c r="C13" s="10"/>
      <c r="D13" s="11" t="s">
        <v>2</v>
      </c>
      <c r="E13" s="10"/>
      <c r="F13" s="10"/>
      <c r="G13" s="10"/>
      <c r="H13" s="11" t="s">
        <v>2</v>
      </c>
      <c r="I13" s="10"/>
      <c r="J13" s="10"/>
      <c r="K13" s="10"/>
    </row>
    <row r="14" spans="1:11" x14ac:dyDescent="0.2">
      <c r="A14" s="22" t="s">
        <v>64</v>
      </c>
      <c r="B14" s="22"/>
      <c r="C14" s="23"/>
      <c r="D14" s="24" t="s">
        <v>2</v>
      </c>
      <c r="E14" s="23"/>
      <c r="F14" s="23"/>
      <c r="G14" s="23"/>
      <c r="H14" s="24" t="s">
        <v>2</v>
      </c>
      <c r="I14" s="23"/>
      <c r="J14" s="23"/>
      <c r="K14" s="23"/>
    </row>
    <row r="15" spans="1:11" x14ac:dyDescent="0.2">
      <c r="A15" s="9"/>
      <c r="B15" s="9"/>
      <c r="C15" s="10"/>
      <c r="D15" s="11" t="s">
        <v>2</v>
      </c>
      <c r="E15" s="10"/>
      <c r="F15" s="10"/>
      <c r="G15" s="10"/>
      <c r="H15" s="11" t="s">
        <v>2</v>
      </c>
      <c r="I15" s="10"/>
      <c r="J15" s="10"/>
      <c r="K15" s="10"/>
    </row>
    <row r="16" spans="1:11" x14ac:dyDescent="0.2">
      <c r="A16" s="14" t="s">
        <v>423</v>
      </c>
      <c r="B16" s="9" t="s">
        <v>424</v>
      </c>
      <c r="C16" s="16">
        <v>0</v>
      </c>
      <c r="D16" s="11" t="s">
        <v>2</v>
      </c>
      <c r="E16" s="16">
        <v>7183</v>
      </c>
      <c r="F16" s="16">
        <v>7200</v>
      </c>
      <c r="G16" s="25">
        <v>1.088353030303</v>
      </c>
      <c r="H16" s="11" t="s">
        <v>2</v>
      </c>
      <c r="I16" s="16">
        <v>7200</v>
      </c>
      <c r="J16" s="25">
        <v>0.99765694444440001</v>
      </c>
      <c r="K16" s="16">
        <v>6778</v>
      </c>
    </row>
    <row r="17" spans="1:11" x14ac:dyDescent="0.2">
      <c r="A17" s="9"/>
      <c r="B17" s="9"/>
      <c r="C17" s="19"/>
      <c r="D17" s="11" t="s">
        <v>2</v>
      </c>
      <c r="E17" s="19"/>
      <c r="F17" s="19"/>
      <c r="G17" s="19"/>
      <c r="H17" s="11" t="s">
        <v>2</v>
      </c>
      <c r="I17" s="19"/>
      <c r="J17" s="19"/>
      <c r="K17" s="19"/>
    </row>
    <row r="18" spans="1:11" x14ac:dyDescent="0.2">
      <c r="A18" s="22" t="s">
        <v>59</v>
      </c>
      <c r="B18" s="22"/>
      <c r="C18" s="27">
        <f>SUM(C16:C17)</f>
        <v>0</v>
      </c>
      <c r="D18" s="24" t="s">
        <v>2</v>
      </c>
      <c r="E18" s="27">
        <f>SUM(E16:E17)</f>
        <v>7183</v>
      </c>
      <c r="F18" s="27">
        <f>SUM(F16:F17)</f>
        <v>7200</v>
      </c>
      <c r="G18" s="28">
        <v>1.088353030303</v>
      </c>
      <c r="H18" s="24" t="s">
        <v>2</v>
      </c>
      <c r="I18" s="27">
        <f>SUM(I16:I17)</f>
        <v>7200</v>
      </c>
      <c r="J18" s="28">
        <v>0.99765694444440001</v>
      </c>
      <c r="K18" s="27">
        <f>SUM(K16:K17)</f>
        <v>6778</v>
      </c>
    </row>
    <row r="19" spans="1:11" x14ac:dyDescent="0.2">
      <c r="A19" s="9"/>
      <c r="B19" s="9"/>
      <c r="C19" s="10"/>
      <c r="D19" s="11" t="s">
        <v>2</v>
      </c>
      <c r="E19" s="10"/>
      <c r="F19" s="10"/>
      <c r="G19" s="10"/>
      <c r="H19" s="11" t="s">
        <v>2</v>
      </c>
      <c r="I19" s="10"/>
      <c r="J19" s="10"/>
      <c r="K19" s="10"/>
    </row>
    <row r="20" spans="1:11" x14ac:dyDescent="0.2">
      <c r="A20" s="9"/>
      <c r="B20" s="9"/>
      <c r="C20" s="19"/>
      <c r="D20" s="11" t="s">
        <v>2</v>
      </c>
      <c r="E20" s="19"/>
      <c r="F20" s="19"/>
      <c r="G20" s="19"/>
      <c r="H20" s="11" t="s">
        <v>2</v>
      </c>
      <c r="I20" s="19"/>
      <c r="J20" s="19"/>
      <c r="K20" s="19"/>
    </row>
    <row r="21" spans="1:11" x14ac:dyDescent="0.2">
      <c r="A21" s="30" t="s">
        <v>425</v>
      </c>
      <c r="B21" s="30"/>
      <c r="C21" s="31">
        <f>+C11-C18</f>
        <v>2</v>
      </c>
      <c r="D21" s="32" t="s">
        <v>2</v>
      </c>
      <c r="E21" s="31">
        <f>+E11-E18</f>
        <v>-16636</v>
      </c>
      <c r="F21" s="31">
        <f>+F11-F18</f>
        <v>66000</v>
      </c>
      <c r="G21" s="33">
        <v>-0.27499735537190001</v>
      </c>
      <c r="H21" s="32" t="s">
        <v>2</v>
      </c>
      <c r="I21" s="31">
        <f>+I11-I18</f>
        <v>66000</v>
      </c>
      <c r="J21" s="33">
        <v>-0.25208090909089997</v>
      </c>
      <c r="K21" s="31">
        <f>+K11-K18</f>
        <v>79509</v>
      </c>
    </row>
    <row r="22" spans="1:11" x14ac:dyDescent="0.2">
      <c r="A22" s="9"/>
      <c r="B22" s="9"/>
      <c r="C22" s="29"/>
      <c r="D22" s="11" t="s">
        <v>2</v>
      </c>
      <c r="E22" s="29"/>
      <c r="F22" s="29"/>
      <c r="G22" s="29"/>
      <c r="H22" s="11" t="s">
        <v>2</v>
      </c>
      <c r="I22" s="29"/>
      <c r="J22" s="29"/>
      <c r="K22" s="29"/>
    </row>
    <row r="23" spans="1:11" x14ac:dyDescent="0.2">
      <c r="A23" s="9"/>
      <c r="B23" s="9"/>
      <c r="C23" s="10"/>
      <c r="D23" s="11" t="s">
        <v>2</v>
      </c>
      <c r="E23" s="10"/>
      <c r="F23" s="10"/>
      <c r="G23" s="10"/>
      <c r="H23" s="11" t="s">
        <v>2</v>
      </c>
      <c r="I23" s="10"/>
      <c r="J23" s="10"/>
      <c r="K23" s="10"/>
    </row>
    <row r="24" spans="1:11" x14ac:dyDescent="0.2">
      <c r="A24" s="9"/>
      <c r="B24" s="9"/>
      <c r="C24" s="10"/>
      <c r="D24" s="11" t="s">
        <v>2</v>
      </c>
      <c r="E24" s="10"/>
      <c r="F24" s="10"/>
      <c r="G24" s="10"/>
      <c r="H24" s="11" t="s">
        <v>2</v>
      </c>
      <c r="I24" s="10"/>
      <c r="J24" s="10"/>
      <c r="K24" s="10"/>
    </row>
    <row r="25" spans="1:11" x14ac:dyDescent="0.2">
      <c r="A25" s="9"/>
      <c r="B25" s="9"/>
      <c r="C25" s="10"/>
      <c r="D25" s="11" t="s">
        <v>2</v>
      </c>
      <c r="E25" s="10"/>
      <c r="F25" s="10"/>
      <c r="G25" s="10"/>
      <c r="H25" s="11" t="s">
        <v>2</v>
      </c>
      <c r="I25" s="10"/>
      <c r="J25" s="10"/>
      <c r="K25" s="10"/>
    </row>
    <row r="26" spans="1:11" x14ac:dyDescent="0.2">
      <c r="A26" s="9"/>
      <c r="B26" s="9"/>
      <c r="C26" s="10"/>
      <c r="D26" s="11" t="s">
        <v>2</v>
      </c>
      <c r="E26" s="10"/>
      <c r="F26" s="10"/>
      <c r="G26" s="10"/>
      <c r="H26" s="11" t="s">
        <v>2</v>
      </c>
      <c r="I26" s="10"/>
      <c r="J26" s="10"/>
      <c r="K26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88" pageOrder="overThenDown" orientation="landscape" r:id="rId1"/>
  <headerFooter>
    <oddHeader>&amp;C&amp;"Arial,Bold Italic"&amp;12&amp;K000000Association Management Company Institute
Investments
For the Twelve Months Ended 12/31/18
PRELIMINARY&amp;R&amp;G</oddHeader>
    <oddFooter>&amp;C&amp;8&amp;K000000&amp;A&amp;R&amp;8&amp;K000000Page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38CF-933D-41EF-B70B-08BD22553567}">
  <sheetPr>
    <pageSetUpPr fitToPage="1"/>
  </sheetPr>
  <dimension ref="A1:H91"/>
  <sheetViews>
    <sheetView zoomScaleNormal="100" zoomScalePageLayoutView="95" workbookViewId="0">
      <pane ySplit="4" topLeftCell="A5" activePane="bottomLeft" state="frozen"/>
      <selection pane="bottomLeft" activeCell="C22" sqref="C22"/>
    </sheetView>
  </sheetViews>
  <sheetFormatPr defaultRowHeight="12.75" x14ac:dyDescent="0.2"/>
  <cols>
    <col min="1" max="1" width="3.7109375" style="40" customWidth="1"/>
    <col min="2" max="2" width="10.5703125" style="41" bestFit="1" customWidth="1"/>
    <col min="3" max="3" width="56.5703125" style="42" bestFit="1" customWidth="1"/>
    <col min="4" max="4" width="15.7109375" style="42" customWidth="1"/>
    <col min="5" max="5" width="18.5703125" style="42" customWidth="1"/>
    <col min="6" max="6" width="15.7109375" style="42" customWidth="1"/>
    <col min="7" max="7" width="10.85546875" style="42" customWidth="1"/>
    <col min="8" max="8" width="12.28515625" style="42" customWidth="1"/>
    <col min="9" max="16384" width="9.140625" style="42"/>
  </cols>
  <sheetData>
    <row r="1" spans="1:8" x14ac:dyDescent="0.2">
      <c r="A1" s="88" t="s">
        <v>502</v>
      </c>
      <c r="B1" s="88"/>
      <c r="C1" s="88"/>
      <c r="D1" s="88"/>
    </row>
    <row r="2" spans="1:8" x14ac:dyDescent="0.2">
      <c r="A2" s="88" t="s">
        <v>508</v>
      </c>
      <c r="B2" s="88"/>
      <c r="C2" s="88"/>
      <c r="D2" s="88"/>
    </row>
    <row r="3" spans="1:8" x14ac:dyDescent="0.2">
      <c r="A3" s="88" t="s">
        <v>507</v>
      </c>
      <c r="B3" s="88"/>
      <c r="C3" s="88"/>
      <c r="D3" s="88"/>
    </row>
    <row r="4" spans="1:8" x14ac:dyDescent="0.2">
      <c r="A4" s="88" t="s">
        <v>480</v>
      </c>
      <c r="B4" s="88"/>
      <c r="C4" s="88"/>
      <c r="D4" s="88"/>
    </row>
    <row r="6" spans="1:8" hidden="1" x14ac:dyDescent="0.2">
      <c r="A6" s="40" t="s">
        <v>426</v>
      </c>
      <c r="C6" s="44" t="s">
        <v>427</v>
      </c>
      <c r="D6" s="43"/>
      <c r="E6" s="43"/>
      <c r="F6" s="43"/>
      <c r="G6" s="43"/>
      <c r="H6" s="43"/>
    </row>
    <row r="7" spans="1:8" hidden="1" x14ac:dyDescent="0.2">
      <c r="D7" s="43"/>
      <c r="E7" s="43"/>
      <c r="F7" s="43"/>
      <c r="G7" s="43"/>
      <c r="H7" s="43"/>
    </row>
    <row r="8" spans="1:8" hidden="1" x14ac:dyDescent="0.2">
      <c r="C8" s="45" t="s">
        <v>428</v>
      </c>
      <c r="D8" s="46"/>
      <c r="E8" s="47"/>
      <c r="F8" s="47"/>
      <c r="G8" s="47"/>
      <c r="H8" s="47"/>
    </row>
    <row r="9" spans="1:8" hidden="1" x14ac:dyDescent="0.2">
      <c r="C9" s="45" t="s">
        <v>429</v>
      </c>
      <c r="D9" s="48"/>
      <c r="E9" s="47"/>
      <c r="F9" s="47"/>
      <c r="G9" s="47"/>
      <c r="H9" s="47"/>
    </row>
    <row r="10" spans="1:8" hidden="1" x14ac:dyDescent="0.2">
      <c r="C10" s="49"/>
      <c r="D10" s="50">
        <f>SUM(D8:D9)</f>
        <v>0</v>
      </c>
      <c r="E10" s="41"/>
      <c r="F10" s="41"/>
      <c r="G10" s="41"/>
      <c r="H10" s="41"/>
    </row>
    <row r="11" spans="1:8" hidden="1" x14ac:dyDescent="0.2">
      <c r="C11" s="51"/>
      <c r="D11" s="52"/>
      <c r="E11" s="47"/>
      <c r="F11" s="47"/>
      <c r="G11" s="47"/>
      <c r="H11" s="47"/>
    </row>
    <row r="12" spans="1:8" ht="40.5" hidden="1" customHeight="1" x14ac:dyDescent="0.2">
      <c r="A12" s="40" t="s">
        <v>430</v>
      </c>
      <c r="B12" s="53"/>
      <c r="C12" s="87" t="s">
        <v>431</v>
      </c>
      <c r="D12" s="87"/>
      <c r="E12" s="87"/>
      <c r="F12" s="87"/>
      <c r="G12" s="87"/>
      <c r="H12" s="87"/>
    </row>
    <row r="13" spans="1:8" hidden="1" x14ac:dyDescent="0.2">
      <c r="C13" s="49"/>
      <c r="D13" s="54"/>
      <c r="E13" s="54"/>
      <c r="F13" s="54"/>
      <c r="G13" s="55"/>
      <c r="H13" s="54"/>
    </row>
    <row r="14" spans="1:8" hidden="1" x14ac:dyDescent="0.2">
      <c r="C14" s="51"/>
      <c r="D14" s="56"/>
      <c r="E14" s="56"/>
      <c r="F14" s="56"/>
      <c r="G14" s="55"/>
      <c r="H14" s="56"/>
    </row>
    <row r="15" spans="1:8" hidden="1" x14ac:dyDescent="0.2">
      <c r="C15" s="51"/>
      <c r="D15" s="56"/>
      <c r="E15" s="56"/>
      <c r="F15" s="56"/>
      <c r="G15" s="55"/>
      <c r="H15" s="56"/>
    </row>
    <row r="16" spans="1:8" x14ac:dyDescent="0.2">
      <c r="A16" s="40" t="s">
        <v>426</v>
      </c>
      <c r="B16" s="49" t="s">
        <v>432</v>
      </c>
      <c r="D16" s="47"/>
      <c r="E16" s="47"/>
      <c r="F16" s="47"/>
      <c r="G16" s="47"/>
      <c r="H16" s="47"/>
    </row>
    <row r="17" spans="1:8" x14ac:dyDescent="0.2">
      <c r="C17" s="51"/>
      <c r="D17" s="57"/>
      <c r="E17" s="58"/>
      <c r="F17" s="58"/>
      <c r="G17" s="59"/>
      <c r="H17" s="58"/>
    </row>
    <row r="18" spans="1:8" x14ac:dyDescent="0.2">
      <c r="C18" s="45" t="s">
        <v>225</v>
      </c>
      <c r="D18" s="46">
        <v>590.38</v>
      </c>
      <c r="E18" s="47"/>
      <c r="F18" s="47"/>
      <c r="G18" s="47"/>
      <c r="H18" s="47"/>
    </row>
    <row r="19" spans="1:8" x14ac:dyDescent="0.2">
      <c r="C19" s="45" t="s">
        <v>433</v>
      </c>
      <c r="D19" s="52">
        <v>2190</v>
      </c>
      <c r="E19" s="47"/>
      <c r="F19" s="47"/>
      <c r="G19" s="47"/>
      <c r="H19" s="47"/>
    </row>
    <row r="20" spans="1:8" x14ac:dyDescent="0.2">
      <c r="C20" s="45" t="s">
        <v>434</v>
      </c>
      <c r="D20" s="52">
        <v>173.37</v>
      </c>
      <c r="E20" s="47"/>
      <c r="F20" s="47"/>
      <c r="G20" s="47"/>
      <c r="H20" s="47"/>
    </row>
    <row r="21" spans="1:8" x14ac:dyDescent="0.2">
      <c r="C21" s="45" t="s">
        <v>372</v>
      </c>
      <c r="D21" s="52">
        <f>995</f>
        <v>995</v>
      </c>
      <c r="E21" s="47"/>
      <c r="F21" s="47"/>
      <c r="G21" s="47"/>
      <c r="H21" s="47"/>
    </row>
    <row r="22" spans="1:8" x14ac:dyDescent="0.2">
      <c r="C22" s="45" t="s">
        <v>435</v>
      </c>
      <c r="D22" s="52">
        <v>2054.13</v>
      </c>
      <c r="E22" s="56"/>
      <c r="F22" s="56"/>
      <c r="G22" s="55"/>
      <c r="H22" s="56"/>
    </row>
    <row r="23" spans="1:8" x14ac:dyDescent="0.2">
      <c r="C23" s="45" t="s">
        <v>482</v>
      </c>
      <c r="D23" s="52">
        <v>679</v>
      </c>
      <c r="E23" s="56"/>
      <c r="F23" s="56"/>
      <c r="G23" s="55"/>
      <c r="H23" s="56"/>
    </row>
    <row r="24" spans="1:8" x14ac:dyDescent="0.2">
      <c r="C24" s="45" t="s">
        <v>436</v>
      </c>
      <c r="D24" s="52">
        <v>6433.77</v>
      </c>
      <c r="E24" s="56"/>
      <c r="F24" s="56"/>
      <c r="G24" s="55"/>
      <c r="H24" s="56"/>
    </row>
    <row r="25" spans="1:8" x14ac:dyDescent="0.2">
      <c r="C25" s="45" t="s">
        <v>437</v>
      </c>
      <c r="D25" s="48">
        <v>7500</v>
      </c>
      <c r="E25" s="56"/>
      <c r="F25" s="56"/>
      <c r="G25" s="55"/>
      <c r="H25" s="56"/>
    </row>
    <row r="26" spans="1:8" ht="13.5" thickBot="1" x14ac:dyDescent="0.25">
      <c r="C26" s="47"/>
      <c r="D26" s="60">
        <f>SUM(D18:D25)</f>
        <v>20615.650000000001</v>
      </c>
      <c r="E26" s="47"/>
      <c r="F26" s="47"/>
      <c r="G26" s="47"/>
      <c r="H26" s="47"/>
    </row>
    <row r="27" spans="1:8" ht="13.5" thickTop="1" x14ac:dyDescent="0.2">
      <c r="C27" s="47"/>
      <c r="D27" s="57"/>
      <c r="E27" s="58"/>
      <c r="F27" s="58"/>
      <c r="G27" s="59"/>
      <c r="H27" s="58"/>
    </row>
    <row r="28" spans="1:8" x14ac:dyDescent="0.2">
      <c r="A28" s="40" t="s">
        <v>430</v>
      </c>
      <c r="B28" s="49" t="s">
        <v>438</v>
      </c>
      <c r="D28" s="61"/>
      <c r="E28" s="47"/>
      <c r="F28" s="47"/>
      <c r="G28" s="47"/>
      <c r="H28" s="47"/>
    </row>
    <row r="29" spans="1:8" x14ac:dyDescent="0.2">
      <c r="B29" s="53"/>
      <c r="C29" s="49"/>
      <c r="D29" s="61"/>
      <c r="E29" s="47"/>
      <c r="F29" s="54"/>
      <c r="G29" s="47"/>
      <c r="H29" s="47"/>
    </row>
    <row r="30" spans="1:8" x14ac:dyDescent="0.2">
      <c r="B30" s="53"/>
      <c r="C30" s="45" t="s">
        <v>439</v>
      </c>
      <c r="D30" s="46">
        <v>286.02999999999997</v>
      </c>
      <c r="E30" s="47"/>
      <c r="F30" s="47"/>
      <c r="G30" s="47"/>
      <c r="H30" s="47"/>
    </row>
    <row r="31" spans="1:8" x14ac:dyDescent="0.2">
      <c r="B31" s="53"/>
      <c r="C31" s="45" t="s">
        <v>440</v>
      </c>
      <c r="D31" s="48">
        <v>201.25</v>
      </c>
      <c r="E31" s="47"/>
      <c r="F31" s="47"/>
      <c r="G31" s="47"/>
      <c r="H31" s="47"/>
    </row>
    <row r="32" spans="1:8" ht="13.5" thickBot="1" x14ac:dyDescent="0.25">
      <c r="B32" s="53"/>
      <c r="C32" s="47"/>
      <c r="D32" s="60">
        <f>SUM(D30:D31)</f>
        <v>487.28</v>
      </c>
      <c r="E32" s="47"/>
      <c r="F32" s="47"/>
      <c r="G32" s="47"/>
      <c r="H32" s="47"/>
    </row>
    <row r="33" spans="1:8" ht="13.5" thickTop="1" x14ac:dyDescent="0.2">
      <c r="B33" s="53"/>
      <c r="C33" s="49"/>
      <c r="D33" s="61"/>
      <c r="E33" s="47"/>
      <c r="F33" s="47"/>
      <c r="G33" s="47"/>
      <c r="H33" s="47"/>
    </row>
    <row r="34" spans="1:8" x14ac:dyDescent="0.2">
      <c r="A34" s="40" t="s">
        <v>441</v>
      </c>
      <c r="B34" s="40" t="s">
        <v>442</v>
      </c>
      <c r="C34" s="49"/>
      <c r="D34" s="61"/>
      <c r="E34" s="47"/>
      <c r="F34" s="47"/>
      <c r="G34" s="47"/>
      <c r="H34" s="47"/>
    </row>
    <row r="35" spans="1:8" x14ac:dyDescent="0.2">
      <c r="B35" s="53"/>
      <c r="C35" s="49"/>
      <c r="D35" s="61"/>
      <c r="E35" s="47"/>
      <c r="F35" s="47"/>
      <c r="G35" s="47"/>
      <c r="H35" s="47"/>
    </row>
    <row r="36" spans="1:8" x14ac:dyDescent="0.2">
      <c r="B36" s="53"/>
      <c r="C36" s="51" t="s">
        <v>443</v>
      </c>
      <c r="D36" s="46">
        <f>1048+9495.08</f>
        <v>10543.08</v>
      </c>
      <c r="E36" s="47"/>
      <c r="F36" s="47"/>
      <c r="G36" s="47"/>
      <c r="H36" s="47"/>
    </row>
    <row r="37" spans="1:8" x14ac:dyDescent="0.2">
      <c r="B37" s="53"/>
      <c r="C37" s="51" t="s">
        <v>444</v>
      </c>
      <c r="D37" s="62">
        <v>112</v>
      </c>
      <c r="E37" s="47"/>
      <c r="F37" s="47"/>
      <c r="G37" s="47"/>
      <c r="H37" s="47"/>
    </row>
    <row r="38" spans="1:8" x14ac:dyDescent="0.2">
      <c r="B38" s="53"/>
      <c r="C38" s="51" t="s">
        <v>445</v>
      </c>
      <c r="D38" s="62">
        <v>591.22</v>
      </c>
      <c r="E38" s="47"/>
      <c r="F38" s="47"/>
      <c r="G38" s="47"/>
      <c r="H38" s="47"/>
    </row>
    <row r="39" spans="1:8" ht="13.5" thickBot="1" x14ac:dyDescent="0.25">
      <c r="B39" s="53"/>
      <c r="C39" s="51"/>
      <c r="D39" s="60">
        <f>SUM(D36:D38)</f>
        <v>11246.3</v>
      </c>
      <c r="E39" s="47"/>
      <c r="F39" s="47"/>
      <c r="G39" s="47"/>
      <c r="H39" s="47"/>
    </row>
    <row r="40" spans="1:8" ht="13.5" customHeight="1" thickTop="1" x14ac:dyDescent="0.2">
      <c r="B40" s="53"/>
      <c r="C40" s="49"/>
      <c r="D40" s="61"/>
      <c r="E40" s="47"/>
      <c r="F40" s="47"/>
      <c r="G40" s="47"/>
      <c r="H40" s="47"/>
    </row>
    <row r="41" spans="1:8" x14ac:dyDescent="0.2">
      <c r="A41" s="40" t="s">
        <v>446</v>
      </c>
      <c r="B41" s="49" t="s">
        <v>447</v>
      </c>
      <c r="D41" s="62"/>
    </row>
    <row r="42" spans="1:8" x14ac:dyDescent="0.2">
      <c r="C42" s="45"/>
      <c r="D42" s="46"/>
    </row>
    <row r="43" spans="1:8" x14ac:dyDescent="0.2">
      <c r="C43" s="45" t="s">
        <v>483</v>
      </c>
      <c r="D43" s="46">
        <v>801</v>
      </c>
    </row>
    <row r="44" spans="1:8" x14ac:dyDescent="0.2">
      <c r="C44" s="45" t="s">
        <v>484</v>
      </c>
      <c r="D44" s="83">
        <v>99</v>
      </c>
    </row>
    <row r="45" spans="1:8" x14ac:dyDescent="0.2">
      <c r="C45" s="45" t="s">
        <v>488</v>
      </c>
      <c r="D45" s="83">
        <v>40</v>
      </c>
    </row>
    <row r="46" spans="1:8" x14ac:dyDescent="0.2">
      <c r="C46" s="45" t="s">
        <v>485</v>
      </c>
      <c r="D46" s="83">
        <v>949</v>
      </c>
    </row>
    <row r="47" spans="1:8" x14ac:dyDescent="0.2">
      <c r="C47" s="45" t="s">
        <v>486</v>
      </c>
      <c r="D47" s="83">
        <v>2</v>
      </c>
    </row>
    <row r="48" spans="1:8" x14ac:dyDescent="0.2">
      <c r="C48" s="45" t="s">
        <v>487</v>
      </c>
      <c r="D48" s="83">
        <v>70</v>
      </c>
    </row>
    <row r="49" spans="1:8" x14ac:dyDescent="0.2">
      <c r="C49" s="45" t="s">
        <v>490</v>
      </c>
      <c r="D49" s="83">
        <v>5138</v>
      </c>
    </row>
    <row r="50" spans="1:8" x14ac:dyDescent="0.2">
      <c r="C50" s="45" t="s">
        <v>489</v>
      </c>
      <c r="D50" s="83">
        <v>4668</v>
      </c>
    </row>
    <row r="51" spans="1:8" x14ac:dyDescent="0.2">
      <c r="B51" s="53"/>
      <c r="C51" s="51" t="s">
        <v>448</v>
      </c>
      <c r="D51" s="62">
        <v>8250</v>
      </c>
      <c r="E51" s="47"/>
      <c r="F51" s="47"/>
      <c r="G51" s="47"/>
      <c r="H51" s="47"/>
    </row>
    <row r="52" spans="1:8" ht="13.5" thickBot="1" x14ac:dyDescent="0.25">
      <c r="C52" s="47"/>
      <c r="D52" s="60">
        <f>SUM(D43:D51)</f>
        <v>20017</v>
      </c>
      <c r="E52" s="47"/>
      <c r="F52" s="47"/>
      <c r="G52" s="47"/>
      <c r="H52" s="47"/>
    </row>
    <row r="53" spans="1:8" ht="13.5" thickTop="1" x14ac:dyDescent="0.2">
      <c r="C53" s="47"/>
      <c r="D53" s="50"/>
      <c r="E53" s="47"/>
      <c r="F53" s="47"/>
      <c r="G53" s="47"/>
      <c r="H53" s="47"/>
    </row>
    <row r="54" spans="1:8" x14ac:dyDescent="0.2">
      <c r="A54" s="40" t="s">
        <v>449</v>
      </c>
      <c r="B54" s="49" t="s">
        <v>450</v>
      </c>
      <c r="C54" s="47"/>
      <c r="D54" s="50"/>
      <c r="E54" s="47"/>
      <c r="F54" s="47"/>
      <c r="G54" s="47"/>
      <c r="H54" s="47"/>
    </row>
    <row r="55" spans="1:8" x14ac:dyDescent="0.2">
      <c r="C55" s="47"/>
      <c r="D55" s="50"/>
      <c r="E55" s="47"/>
      <c r="F55" s="47"/>
      <c r="G55" s="47"/>
      <c r="H55" s="47"/>
    </row>
    <row r="56" spans="1:8" x14ac:dyDescent="0.2">
      <c r="C56" s="45" t="s">
        <v>451</v>
      </c>
      <c r="D56" s="63">
        <v>0</v>
      </c>
      <c r="E56" s="47"/>
      <c r="F56" s="47"/>
      <c r="G56" s="47"/>
      <c r="H56" s="47"/>
    </row>
    <row r="57" spans="1:8" ht="13.5" thickBot="1" x14ac:dyDescent="0.25">
      <c r="C57" s="45"/>
      <c r="D57" s="60">
        <f>SUM(D56:D56)</f>
        <v>0</v>
      </c>
      <c r="E57" s="47"/>
      <c r="F57" s="47"/>
      <c r="G57" s="47"/>
      <c r="H57" s="47"/>
    </row>
    <row r="58" spans="1:8" ht="13.5" thickTop="1" x14ac:dyDescent="0.2">
      <c r="C58" s="45"/>
      <c r="D58" s="50"/>
      <c r="E58" s="47"/>
      <c r="F58" s="47"/>
      <c r="G58" s="47"/>
      <c r="H58" s="47"/>
    </row>
    <row r="59" spans="1:8" x14ac:dyDescent="0.2">
      <c r="A59" s="40" t="s">
        <v>452</v>
      </c>
      <c r="B59" s="64" t="s">
        <v>453</v>
      </c>
      <c r="C59" s="47"/>
      <c r="D59" s="50"/>
      <c r="E59" s="47"/>
      <c r="F59" s="47"/>
      <c r="G59" s="47"/>
      <c r="H59" s="47"/>
    </row>
    <row r="60" spans="1:8" x14ac:dyDescent="0.2">
      <c r="C60" s="47"/>
      <c r="D60" s="50"/>
      <c r="E60" s="47"/>
      <c r="F60" s="47"/>
      <c r="G60" s="47"/>
      <c r="H60" s="47"/>
    </row>
    <row r="61" spans="1:8" x14ac:dyDescent="0.2">
      <c r="C61" s="51" t="s">
        <v>454</v>
      </c>
      <c r="D61" s="65">
        <v>339500</v>
      </c>
      <c r="E61" s="47"/>
      <c r="F61" s="47"/>
      <c r="G61" s="47"/>
      <c r="H61" s="47"/>
    </row>
    <row r="62" spans="1:8" x14ac:dyDescent="0.2">
      <c r="C62" s="51" t="s">
        <v>455</v>
      </c>
      <c r="D62" s="62">
        <v>31000</v>
      </c>
      <c r="E62" s="47"/>
      <c r="F62" s="47"/>
      <c r="G62" s="47"/>
      <c r="H62" s="47"/>
    </row>
    <row r="63" spans="1:8" x14ac:dyDescent="0.2">
      <c r="C63" s="51" t="s">
        <v>456</v>
      </c>
      <c r="D63" s="62">
        <f>2058+950</f>
        <v>3008</v>
      </c>
      <c r="E63" s="47"/>
      <c r="F63" s="47"/>
      <c r="G63" s="47"/>
      <c r="H63" s="47"/>
    </row>
    <row r="64" spans="1:8" x14ac:dyDescent="0.2">
      <c r="C64" s="51" t="s">
        <v>457</v>
      </c>
      <c r="D64" s="62">
        <f>22875+17500</f>
        <v>40375</v>
      </c>
      <c r="E64" s="47"/>
      <c r="F64" s="47"/>
      <c r="G64" s="47"/>
      <c r="H64" s="47"/>
    </row>
    <row r="65" spans="1:8" x14ac:dyDescent="0.2">
      <c r="C65" s="51" t="s">
        <v>458</v>
      </c>
      <c r="D65" s="62">
        <f>25000+25000</f>
        <v>50000</v>
      </c>
      <c r="E65" s="47"/>
      <c r="F65" s="47"/>
      <c r="G65" s="47"/>
      <c r="H65" s="47"/>
    </row>
    <row r="66" spans="1:8" ht="13.5" thickBot="1" x14ac:dyDescent="0.25">
      <c r="C66" s="47"/>
      <c r="D66" s="60">
        <f>SUM(D61:D65)</f>
        <v>463883</v>
      </c>
      <c r="E66" s="47"/>
      <c r="F66" s="47"/>
      <c r="G66" s="47"/>
      <c r="H66" s="47"/>
    </row>
    <row r="67" spans="1:8" ht="13.5" thickTop="1" x14ac:dyDescent="0.2">
      <c r="C67" s="47"/>
      <c r="D67" s="50"/>
      <c r="E67" s="47"/>
      <c r="F67" s="47"/>
      <c r="G67" s="47"/>
      <c r="H67" s="47"/>
    </row>
    <row r="68" spans="1:8" x14ac:dyDescent="0.2">
      <c r="A68" s="40" t="s">
        <v>459</v>
      </c>
      <c r="B68" s="82" t="s">
        <v>493</v>
      </c>
      <c r="C68" s="47"/>
      <c r="D68" s="50"/>
      <c r="E68" s="47"/>
      <c r="F68" s="47"/>
      <c r="G68" s="47"/>
      <c r="H68" s="47"/>
    </row>
    <row r="69" spans="1:8" x14ac:dyDescent="0.2">
      <c r="C69" s="47"/>
      <c r="D69" s="50"/>
      <c r="E69" s="47"/>
      <c r="F69" s="47"/>
      <c r="G69" s="47"/>
      <c r="H69" s="47"/>
    </row>
    <row r="70" spans="1:8" x14ac:dyDescent="0.2">
      <c r="C70" s="51" t="s">
        <v>491</v>
      </c>
      <c r="D70" s="62">
        <v>79567</v>
      </c>
      <c r="E70" s="47"/>
      <c r="F70" s="47"/>
      <c r="G70" s="47"/>
      <c r="H70" s="47"/>
    </row>
    <row r="71" spans="1:8" ht="13.5" thickBot="1" x14ac:dyDescent="0.25">
      <c r="C71" s="47"/>
      <c r="D71" s="60">
        <f>SUM(D70:D70)</f>
        <v>79567</v>
      </c>
      <c r="E71" s="47"/>
      <c r="F71" s="47"/>
      <c r="G71" s="47"/>
      <c r="H71" s="47"/>
    </row>
    <row r="72" spans="1:8" ht="13.5" thickTop="1" x14ac:dyDescent="0.2">
      <c r="C72" s="47"/>
      <c r="D72" s="50"/>
      <c r="E72" s="47"/>
      <c r="F72" s="47"/>
      <c r="G72" s="47"/>
      <c r="H72" s="47"/>
    </row>
    <row r="73" spans="1:8" x14ac:dyDescent="0.2">
      <c r="A73" s="40" t="s">
        <v>472</v>
      </c>
      <c r="B73" s="82" t="s">
        <v>492</v>
      </c>
      <c r="C73" s="47"/>
      <c r="D73" s="50"/>
      <c r="E73" s="47"/>
      <c r="F73" s="47"/>
      <c r="G73" s="47"/>
      <c r="H73" s="47"/>
    </row>
    <row r="74" spans="1:8" x14ac:dyDescent="0.2">
      <c r="C74" s="47"/>
      <c r="D74" s="50"/>
      <c r="E74" s="47"/>
      <c r="F74" s="47"/>
      <c r="G74" s="47"/>
      <c r="H74" s="47"/>
    </row>
    <row r="75" spans="1:8" x14ac:dyDescent="0.2">
      <c r="C75" s="51" t="s">
        <v>491</v>
      </c>
      <c r="D75" s="62">
        <v>2200</v>
      </c>
      <c r="E75" s="47"/>
      <c r="F75" s="47"/>
      <c r="G75" s="47"/>
      <c r="H75" s="47"/>
    </row>
    <row r="76" spans="1:8" ht="13.5" thickBot="1" x14ac:dyDescent="0.25">
      <c r="C76" s="47"/>
      <c r="D76" s="60">
        <f>SUM(D75:D75)</f>
        <v>2200</v>
      </c>
      <c r="E76" s="47"/>
      <c r="F76" s="47"/>
      <c r="G76" s="47"/>
      <c r="H76" s="47"/>
    </row>
    <row r="77" spans="1:8" ht="13.5" thickTop="1" x14ac:dyDescent="0.2">
      <c r="A77" s="40" t="s">
        <v>473</v>
      </c>
      <c r="B77" s="44" t="s">
        <v>460</v>
      </c>
    </row>
    <row r="79" spans="1:8" x14ac:dyDescent="0.2">
      <c r="B79" s="66"/>
      <c r="C79" s="42" t="s">
        <v>461</v>
      </c>
      <c r="D79" s="46">
        <v>400.05</v>
      </c>
    </row>
    <row r="80" spans="1:8" x14ac:dyDescent="0.2">
      <c r="B80" s="66"/>
      <c r="C80" s="42" t="s">
        <v>462</v>
      </c>
      <c r="D80" s="62">
        <v>680.14</v>
      </c>
    </row>
    <row r="81" spans="2:4" x14ac:dyDescent="0.2">
      <c r="B81" s="66"/>
      <c r="C81" s="42" t="s">
        <v>463</v>
      </c>
      <c r="D81" s="62">
        <v>400.05</v>
      </c>
    </row>
    <row r="82" spans="2:4" x14ac:dyDescent="0.2">
      <c r="B82" s="66"/>
      <c r="C82" s="42" t="s">
        <v>464</v>
      </c>
      <c r="D82" s="62">
        <v>400.05</v>
      </c>
    </row>
    <row r="83" spans="2:4" x14ac:dyDescent="0.2">
      <c r="B83" s="66"/>
      <c r="C83" s="42" t="s">
        <v>465</v>
      </c>
      <c r="D83" s="62">
        <v>680.14</v>
      </c>
    </row>
    <row r="84" spans="2:4" x14ac:dyDescent="0.2">
      <c r="B84" s="66"/>
      <c r="C84" s="42" t="s">
        <v>466</v>
      </c>
      <c r="D84" s="62">
        <v>680.14</v>
      </c>
    </row>
    <row r="85" spans="2:4" x14ac:dyDescent="0.2">
      <c r="B85" s="66"/>
      <c r="C85" s="42" t="s">
        <v>467</v>
      </c>
      <c r="D85" s="62">
        <v>680.14</v>
      </c>
    </row>
    <row r="86" spans="2:4" x14ac:dyDescent="0.2">
      <c r="B86" s="66"/>
      <c r="C86" s="42" t="s">
        <v>468</v>
      </c>
      <c r="D86" s="62">
        <v>400.05</v>
      </c>
    </row>
    <row r="87" spans="2:4" x14ac:dyDescent="0.2">
      <c r="B87" s="66"/>
      <c r="C87" s="42" t="s">
        <v>469</v>
      </c>
      <c r="D87" s="62">
        <v>2176.13</v>
      </c>
    </row>
    <row r="88" spans="2:4" x14ac:dyDescent="0.2">
      <c r="B88" s="66"/>
      <c r="C88" s="42" t="s">
        <v>470</v>
      </c>
      <c r="D88" s="62">
        <v>1088.0700000000002</v>
      </c>
    </row>
    <row r="89" spans="2:4" x14ac:dyDescent="0.2">
      <c r="B89" s="66"/>
      <c r="C89" s="42" t="s">
        <v>471</v>
      </c>
      <c r="D89" s="67">
        <v>805.14</v>
      </c>
    </row>
    <row r="90" spans="2:4" ht="13.5" thickBot="1" x14ac:dyDescent="0.25">
      <c r="D90" s="60">
        <f>SUM(D79:D89)</f>
        <v>8390.0999999999985</v>
      </c>
    </row>
    <row r="91" spans="2:4" ht="13.5" thickTop="1" x14ac:dyDescent="0.2">
      <c r="D91" s="50"/>
    </row>
  </sheetData>
  <mergeCells count="5">
    <mergeCell ref="C12:H12"/>
    <mergeCell ref="A1:D1"/>
    <mergeCell ref="A2:D2"/>
    <mergeCell ref="A3:D3"/>
    <mergeCell ref="A4:D4"/>
  </mergeCells>
  <printOptions horizontalCentered="1"/>
  <pageMargins left="0.75" right="0.75" top="0.8" bottom="0.75" header="0.03" footer="0.03"/>
  <pageSetup scale="67" pageOrder="overThenDown" orientation="portrait" r:id="rId1"/>
  <headerFooter>
    <oddHeader>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AMCI 1_Stmt of Financial Post</vt:lpstr>
      <vt:lpstr>AMCI 2_Stmt of Activity</vt:lpstr>
      <vt:lpstr>AMCI 3_Membership</vt:lpstr>
      <vt:lpstr>AMCI 4_Meetings</vt:lpstr>
      <vt:lpstr>AMCI 5_Accreditation</vt:lpstr>
      <vt:lpstr>AMCI 6_General</vt:lpstr>
      <vt:lpstr>AMCI 7_Marketing</vt:lpstr>
      <vt:lpstr>AMCI 8_Investments</vt:lpstr>
      <vt:lpstr>AMCI 9_Footnotes</vt:lpstr>
      <vt:lpstr>'AMCI 6_General'!Print_Titles</vt:lpstr>
      <vt:lpstr>'AMCI 7_Marketing'!Print_Titles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kstriebel</cp:lastModifiedBy>
  <cp:lastPrinted>2019-01-22T16:30:14Z</cp:lastPrinted>
  <dcterms:created xsi:type="dcterms:W3CDTF">2018-12-06T20:00:15Z</dcterms:created>
  <dcterms:modified xsi:type="dcterms:W3CDTF">2019-01-22T17:17:45Z</dcterms:modified>
</cp:coreProperties>
</file>